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Gear Checklist" sheetId="1" r:id="rId1"/>
    <sheet name="Sample Trip Lists with Weights" sheetId="2" r:id="rId2"/>
    <sheet name="First Aid Kit" sheetId="3" r:id="rId3"/>
    <sheet name="Food Checklist" sheetId="4" r:id="rId4"/>
  </sheets>
  <externalReferences>
    <externalReference r:id="rId7"/>
  </externalReferences>
  <definedNames>
    <definedName name="_xlnm.Print_Titles" localSheetId="0">'Gear Checklist'!$2:$3</definedName>
  </definedNames>
  <calcPr fullCalcOnLoad="1"/>
</workbook>
</file>

<file path=xl/sharedStrings.xml><?xml version="1.0" encoding="utf-8"?>
<sst xmlns="http://schemas.openxmlformats.org/spreadsheetml/2006/main" count="299" uniqueCount="245">
  <si>
    <t>Backpacking Gear Checklist</t>
  </si>
  <si>
    <t>Ten Essentials</t>
  </si>
  <si>
    <t>Clothing (see separate checklist below)</t>
  </si>
  <si>
    <t>Food (see separate tab)</t>
  </si>
  <si>
    <t>Cocoon inflatable pillow</t>
  </si>
  <si>
    <t>Neo-Aire 3/4 length inflatable pad</t>
  </si>
  <si>
    <t>Camp &amp; Cooking</t>
  </si>
  <si>
    <t>Aquamira water treatment drops</t>
  </si>
  <si>
    <t>Clothing</t>
  </si>
  <si>
    <t>Warm cap</t>
  </si>
  <si>
    <t>Toiletries etc.</t>
  </si>
  <si>
    <t>Miniature hairbrush</t>
  </si>
  <si>
    <t>Travel-size toothpaste and toothbrush</t>
  </si>
  <si>
    <t>Travel-size deodorant</t>
  </si>
  <si>
    <t>Sleeping pills in small pill container</t>
  </si>
  <si>
    <t>Misc</t>
  </si>
  <si>
    <t>Silk sleep sack (if extra cold nights)</t>
  </si>
  <si>
    <t>30-gallon trash compacter bag (pack liner)</t>
  </si>
  <si>
    <t>Lightweight stuff sack (to carry  food)</t>
  </si>
  <si>
    <t>Item</t>
  </si>
  <si>
    <t>lbs</t>
  </si>
  <si>
    <t>oz</t>
  </si>
  <si>
    <t>1st aid kit</t>
  </si>
  <si>
    <t>Subtotal</t>
  </si>
  <si>
    <t>MSR camp bladder, odor-proof bag</t>
  </si>
  <si>
    <t>Pack Weight for Wind Rivers Trip</t>
  </si>
  <si>
    <t>Total Loaded Pack Weight (est)</t>
  </si>
  <si>
    <t>ITEM</t>
  </si>
  <si>
    <t>1 roll, 2" x 4.1 yards gauze</t>
  </si>
  <si>
    <t>Base Weight:</t>
  </si>
  <si>
    <t>kindle in neoprene case</t>
  </si>
  <si>
    <t>digital camera</t>
  </si>
  <si>
    <t>Toiletries, foot care, meds</t>
  </si>
  <si>
    <t>Aquamira drops</t>
  </si>
  <si>
    <t>Packet "Wet Ones" wipes in quart zip-loc with extra zip-loc for used ones inside</t>
  </si>
  <si>
    <t>Small pack tape-type dental floss, clove oil for toothache</t>
  </si>
  <si>
    <t>1"  adhesive medical tape roll</t>
  </si>
  <si>
    <t>Any personal meds or oral glucose</t>
  </si>
  <si>
    <t>3" elastic bandage - self-stick or with hooks</t>
  </si>
  <si>
    <t>2nd skin or other blister treatment</t>
  </si>
  <si>
    <t>Underwear - 2 (wear one wash one)</t>
  </si>
  <si>
    <t>GoLite Quest backpack - 55L</t>
  </si>
  <si>
    <t>1Qt insulated cozy</t>
  </si>
  <si>
    <t>Odor proof plastic 2 Gal bag</t>
  </si>
  <si>
    <t>Quick drying hiking shorts</t>
  </si>
  <si>
    <t>Lightweight folding knife</t>
  </si>
  <si>
    <t>Sun hat</t>
  </si>
  <si>
    <t>camp/water shoes</t>
  </si>
  <si>
    <t>Golite Quest 55L Pack</t>
  </si>
  <si>
    <t>Cocoon pillow</t>
  </si>
  <si>
    <t>Pack Weight for Muir Trail Summer Trip</t>
  </si>
  <si>
    <t>Gear Inventory/Pack List</t>
  </si>
  <si>
    <t>Food:  1.75 lbs/day for 5 days</t>
  </si>
  <si>
    <t>Gaiters</t>
  </si>
  <si>
    <r>
      <t>40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down sleeping bag in compression sack</t>
    </r>
  </si>
  <si>
    <r>
      <t>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down sleeping bag in compression sack</t>
    </r>
  </si>
  <si>
    <t>Pack Weight for Colorado Trail Summer Trip</t>
  </si>
  <si>
    <t>Food:  1.75 lbs/day for 6 days</t>
  </si>
  <si>
    <t>Ur Sack</t>
  </si>
  <si>
    <t>Lightweight Smartwool tights &amp; long-sleeve shirt, extra pair underwear &amp; socks, 2 pr gloves &amp; light beanie hat in compression sack</t>
  </si>
  <si>
    <t>Map in zip-loc bag, compass</t>
  </si>
  <si>
    <t>Ultra-light Pack cover</t>
  </si>
  <si>
    <t>Small lightweight trowel (for digging catholes)</t>
  </si>
  <si>
    <t>Therm-a-rest Neo-Aire3/4 length  sleeping pad</t>
  </si>
  <si>
    <t>Synthetic 'puffy' sweater w/zip-off sleeves</t>
  </si>
  <si>
    <t>BV500 bear can</t>
  </si>
  <si>
    <t>First Aid Gear List - group trip</t>
  </si>
  <si>
    <t>Patagonia Rain jacket</t>
  </si>
  <si>
    <t>Helly Hansen Rain pants</t>
  </si>
  <si>
    <t>Sunscreen, headlamp, sunglasses</t>
  </si>
  <si>
    <t>Bug spray, sunscreen, headlamp, sunglasses</t>
  </si>
  <si>
    <t>Midweight Smartwool tights &amp; long-sleeve shirt, extra pair underwear &amp; socks, 2 pr gloves &amp; warm hat in compression sack</t>
  </si>
  <si>
    <t>Midweight Smartwool tights &amp; long-sleeve shirt, extra pair underwear &amp; socks, 2 pr gloves &amp; goretex overmitts, warm hat in compression sack</t>
  </si>
  <si>
    <t>Water:  1 Liter + extra empty 1L soda bottle</t>
  </si>
  <si>
    <t>Water:  1 Liter + extra empty1L soda bottle</t>
  </si>
  <si>
    <t>Big Agnes Copper Spur 2-person Tent (shared)</t>
  </si>
  <si>
    <t>Lightweight 2C plastic mug</t>
  </si>
  <si>
    <t>Kindle in neoprene case</t>
  </si>
  <si>
    <t>Black diamond Storm 100 lumen headlamp, in zip-loc</t>
  </si>
  <si>
    <t>Sunglasses with neck cord</t>
  </si>
  <si>
    <t>Butane canister (8oz)</t>
  </si>
  <si>
    <t>Pocket Rocket stove</t>
  </si>
  <si>
    <t>20' of lightweight paracord</t>
  </si>
  <si>
    <t>2 extra quart-size &amp; 1 extra gallon size zip locs</t>
  </si>
  <si>
    <t>BV500 bear canister</t>
  </si>
  <si>
    <t>Ur-Sack</t>
  </si>
  <si>
    <t>Medium-sized quick-drying pack towel</t>
  </si>
  <si>
    <t>Ultralight pocket daypack</t>
  </si>
  <si>
    <t>Patagonia Rain shell with hood</t>
  </si>
  <si>
    <t>Helly-Hanson full-zip Rain pants</t>
  </si>
  <si>
    <t>Dry-wicking long-sleeve shirt</t>
  </si>
  <si>
    <t xml:space="preserve">Dry-wicking short-sleeve shirt </t>
  </si>
  <si>
    <t>Midweight convertible long pants</t>
  </si>
  <si>
    <t>Lightweight hiking pants</t>
  </si>
  <si>
    <t>Lightweight button-down long-sleeve UV protection shirt</t>
  </si>
  <si>
    <t>Waterproof mid-height boots</t>
  </si>
  <si>
    <t>Waterproof low-top hiking shoes</t>
  </si>
  <si>
    <r>
      <t>Lafuma 40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down sleeping bag</t>
    </r>
  </si>
  <si>
    <r>
      <t xml:space="preserve"> Eddie Bauer Karakoram 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sleeping bag</t>
    </r>
  </si>
  <si>
    <t>X-Small 6L ultralight compression sack</t>
  </si>
  <si>
    <t>Small 10L ultralight compression sack</t>
  </si>
  <si>
    <t xml:space="preserve">Lightweight Smartwool Socks - 2 pairs </t>
  </si>
  <si>
    <t>Ultralight primaloft sweater (with zip-off sleeves)</t>
  </si>
  <si>
    <t>Lightweight liner gloves</t>
  </si>
  <si>
    <t>Fleece mittens</t>
  </si>
  <si>
    <t>Gore-tex overmitts</t>
  </si>
  <si>
    <t>Buff</t>
  </si>
  <si>
    <t>Light fleece pullover top</t>
  </si>
  <si>
    <t>Small ultralight dry sack</t>
  </si>
  <si>
    <t>First aid kit (see separate tab)</t>
  </si>
  <si>
    <t>Butane lighter</t>
  </si>
  <si>
    <t>Sun hat with neck cord</t>
  </si>
  <si>
    <t>Pack, Sleep &amp; Shelter</t>
  </si>
  <si>
    <t>Z-Rest sit pad</t>
  </si>
  <si>
    <t>Permits, Emergency contact info, ID, insurance cards, debit card, cash, all in a small zip-loc</t>
  </si>
  <si>
    <t>Sm bottle (1oz) biodegradable soap</t>
  </si>
  <si>
    <t>Big Agnes Copper Spur 2-person tent in bag</t>
  </si>
  <si>
    <t>1.5L Platypus  camp water bag</t>
  </si>
  <si>
    <t>Ounces</t>
  </si>
  <si>
    <t>Total Wgt (oz)</t>
  </si>
  <si>
    <t>Total Wgt (lbs)</t>
  </si>
  <si>
    <t>Merino wool lightweight long sleeve base-layer top</t>
  </si>
  <si>
    <t>Merino wool midweight long-sleeve base layer top</t>
  </si>
  <si>
    <t>Merino wool expedition weight base layer bottoms</t>
  </si>
  <si>
    <t>Merino wool lightweight full-length base-layer bottoms</t>
  </si>
  <si>
    <t>MSR hanging camp water bag with faucet nozzle</t>
  </si>
  <si>
    <t>900ml titanium cook pot with lid in mesh sack</t>
  </si>
  <si>
    <t>Insect repellent (3.5 oz Natrepel pump)</t>
  </si>
  <si>
    <t>Large (20L) ultralight dry sack</t>
  </si>
  <si>
    <t>Z Trekking poles - 2</t>
  </si>
  <si>
    <t>Light clothesline with integrated clips</t>
  </si>
  <si>
    <t>Bear spray in holster</t>
  </si>
  <si>
    <t>Survival blanket (2 person)</t>
  </si>
  <si>
    <t>Large 20L ultralight compression sack</t>
  </si>
  <si>
    <t>Aluminum pot with foil lid</t>
  </si>
  <si>
    <t>Short gaiters</t>
  </si>
  <si>
    <t>Long gore-tex gaiters</t>
  </si>
  <si>
    <t>REI pack - 40L</t>
  </si>
  <si>
    <t>Charmin to go pack</t>
  </si>
  <si>
    <t>Mini pack towel on carabiner</t>
  </si>
  <si>
    <t>MSR Windpro Remote Canister Stove with  windscreen</t>
  </si>
  <si>
    <t>4 oz liquid alcohol in plastic bottle</t>
  </si>
  <si>
    <t>1.5 oz tube UVA-UVB sunscreen &amp; SPF lip balm</t>
  </si>
  <si>
    <t># to Bring?</t>
  </si>
  <si>
    <t># to bring for Individual kit</t>
  </si>
  <si>
    <t>Scissors</t>
  </si>
  <si>
    <t>tweezers</t>
  </si>
  <si>
    <t>BREAKFAST</t>
  </si>
  <si>
    <t>LUNCH</t>
  </si>
  <si>
    <t>SNACKS</t>
  </si>
  <si>
    <t>DINNER</t>
  </si>
  <si>
    <t>Food</t>
  </si>
  <si>
    <t>Serving (gms)</t>
  </si>
  <si>
    <t>Calories</t>
  </si>
  <si>
    <t># Servings to pack - 1ST CARRY</t>
  </si>
  <si>
    <t>Total Gms to Pack-  1ST CARRY</t>
  </si>
  <si>
    <t>Check</t>
  </si>
  <si>
    <t># Servings to Pack - Resupply</t>
  </si>
  <si>
    <t>Total Gms to Pack - Resupply</t>
  </si>
  <si>
    <t>Tang OJ powder (2T)</t>
  </si>
  <si>
    <t xml:space="preserve">Via packet </t>
  </si>
  <si>
    <t>Cocoa mix+Coffee creamer (4tsp)</t>
  </si>
  <si>
    <t>Full-fat granola with nuts &amp; fruit (3/4C)</t>
  </si>
  <si>
    <t>Instant oatmeal with flaxseed, coconut, raisins and seeds (1C)</t>
  </si>
  <si>
    <t>Whole milk powder (1/4C)</t>
  </si>
  <si>
    <t>Almond butter (2T packet)</t>
  </si>
  <si>
    <t>Hard cheese (2 oz serving)</t>
  </si>
  <si>
    <t>Oroweat english muffin 2 halves</t>
  </si>
  <si>
    <t>Wheat thins crackers, vacuum pack (15)</t>
  </si>
  <si>
    <t xml:space="preserve">Almond-cashew-walnut-sesame sticks mix </t>
  </si>
  <si>
    <t>Macadamia nuts (4 oz)</t>
  </si>
  <si>
    <t>Peanut or almond M&amp;Ms (30 pcs)</t>
  </si>
  <si>
    <t>Dehydrated dinner (1 svg dry)</t>
  </si>
  <si>
    <t>Stonefire Naan bread (1 piece)</t>
  </si>
  <si>
    <t>Full-fat tortilla (1)</t>
  </si>
  <si>
    <t>Instant cheesecake or pudding (1/2 pkt)</t>
  </si>
  <si>
    <t>Toffee peanuts (for topping) - 1.25 oz</t>
  </si>
  <si>
    <t>Keeblers Samoa cookies (3)</t>
  </si>
  <si>
    <t xml:space="preserve">Flavored drink packets </t>
  </si>
  <si>
    <t>Benedryl</t>
  </si>
  <si>
    <t>Immodium</t>
  </si>
  <si>
    <t>Pepto bismol tablets</t>
  </si>
  <si>
    <t>Aspirin/bufferin tabs</t>
  </si>
  <si>
    <t>Advil/Tylenol</t>
  </si>
  <si>
    <t>Weight each (oz)</t>
  </si>
  <si>
    <t>Total Weight (oz)</t>
  </si>
  <si>
    <t>Total Weight (lbs)</t>
  </si>
  <si>
    <t>Bandaids - finger/knuckle</t>
  </si>
  <si>
    <t>Bandaids - regular</t>
  </si>
  <si>
    <t xml:space="preserve">Bandaids -   large (3"x4") </t>
  </si>
  <si>
    <t>Sani-hands and/or antiseptic pads</t>
  </si>
  <si>
    <t>Antiseptic spray</t>
  </si>
  <si>
    <t>3x3" gauze pads</t>
  </si>
  <si>
    <t>2x2" gauze pads</t>
  </si>
  <si>
    <t>4x4" gauze pads</t>
  </si>
  <si>
    <t>5x9" sterile wound pads</t>
  </si>
  <si>
    <t>6x6" sterile wound pads</t>
  </si>
  <si>
    <t>handwarmer pack</t>
  </si>
  <si>
    <t>Quick-clot - 3.5x3.5"</t>
  </si>
  <si>
    <t>Instant cold pack</t>
  </si>
  <si>
    <t>Butterfly bandages or steri-strips - 4pack</t>
  </si>
  <si>
    <t>Antibiotic (1 oz tube Neosporin)</t>
  </si>
  <si>
    <t>benzoin swabs - 4pack</t>
  </si>
  <si>
    <t xml:space="preserve">non-latex sterile gloves-pair </t>
  </si>
  <si>
    <t>indiv</t>
  </si>
  <si>
    <t>group</t>
  </si>
  <si>
    <t># to share among group</t>
  </si>
  <si>
    <t>1L plastic soft drink bottle</t>
  </si>
  <si>
    <t>Hardside square 32 oz water bottle (widemouth)</t>
  </si>
  <si>
    <t>Hardside Nalgene 1L bottle</t>
  </si>
  <si>
    <t>Large plastic map cover</t>
  </si>
  <si>
    <t>Small bottle hand sanitizer (1.5 oz)</t>
  </si>
  <si>
    <t>Small clippers</t>
  </si>
  <si>
    <t>Sm jar carmex (.25 oz)</t>
  </si>
  <si>
    <t xml:space="preserve">Eureka Spitfire Solo Tent </t>
  </si>
  <si>
    <t xml:space="preserve">Eureka Spitfire solo tent </t>
  </si>
  <si>
    <t>Eureka Spitfire Solo Tent in bag</t>
  </si>
  <si>
    <t>Base wgt</t>
  </si>
  <si>
    <t>Pack Weight</t>
  </si>
  <si>
    <t>Toiletries, foot care, sleeping meds</t>
  </si>
  <si>
    <t>pack cover</t>
  </si>
  <si>
    <t>Sun hat with headnet</t>
  </si>
  <si>
    <t>Stove, pot, lighter, 8oz butane canister, windscreen, spoon, 2C plastic mug, cozy, food sack, folding knife</t>
  </si>
  <si>
    <t>Chelan Lakeshore Backpack</t>
  </si>
  <si>
    <t>calories per day for 2.5 meal/days  (check)</t>
  </si>
  <si>
    <t>food weight per day for 2.5 meal/days (lbs) - check</t>
  </si>
  <si>
    <t>Ultralight camp/water shoes</t>
  </si>
  <si>
    <t>Lightweight spoon</t>
  </si>
  <si>
    <t>Meal-days</t>
  </si>
  <si>
    <t xml:space="preserve">Instant soup mix </t>
  </si>
  <si>
    <t>TRAIL MEAL TALLY</t>
  </si>
  <si>
    <t>BACKPACK TRIP FOOD CHECKLIST - Chelan Lakeshore Backpack</t>
  </si>
  <si>
    <t>Gossamer Gear backpack</t>
  </si>
  <si>
    <t>Rain/sun hat</t>
  </si>
  <si>
    <t>Worn or</t>
  </si>
  <si>
    <t>Consumable?</t>
  </si>
  <si>
    <t>Camera phone and portable power supply</t>
  </si>
  <si>
    <t>+Food (3D)</t>
  </si>
  <si>
    <t>+1.5L water</t>
  </si>
  <si>
    <t>lbs/day</t>
  </si>
  <si>
    <t>Subtract Worn/consumable items</t>
  </si>
  <si>
    <t>Sm striker box waterproof matches +  fire starter</t>
  </si>
  <si>
    <t>Shelter (see separate checklist below)</t>
  </si>
  <si>
    <t>Miniature sewing kit/patches/safety pins</t>
  </si>
  <si>
    <t>Caldera alcohol stove with windscreen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</si>
</sst>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4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40" fillId="33" borderId="28" xfId="0" applyFont="1" applyFill="1" applyBorder="1" applyAlignment="1">
      <alignment/>
    </xf>
    <xf numFmtId="1" fontId="40" fillId="33" borderId="29" xfId="0" applyNumberFormat="1" applyFont="1" applyFill="1" applyBorder="1" applyAlignment="1">
      <alignment/>
    </xf>
    <xf numFmtId="1" fontId="40" fillId="33" borderId="30" xfId="0" applyNumberFormat="1" applyFont="1" applyFill="1" applyBorder="1" applyAlignment="1">
      <alignment/>
    </xf>
    <xf numFmtId="1" fontId="40" fillId="0" borderId="12" xfId="0" applyNumberFormat="1" applyFont="1" applyBorder="1" applyAlignment="1">
      <alignment/>
    </xf>
    <xf numFmtId="0" fontId="40" fillId="0" borderId="28" xfId="0" applyFont="1" applyBorder="1" applyAlignment="1">
      <alignment/>
    </xf>
    <xf numFmtId="1" fontId="40" fillId="0" borderId="29" xfId="0" applyNumberFormat="1" applyFont="1" applyBorder="1" applyAlignment="1">
      <alignment/>
    </xf>
    <xf numFmtId="1" fontId="40" fillId="0" borderId="30" xfId="0" applyNumberFormat="1" applyFont="1" applyBorder="1" applyAlignment="1">
      <alignment/>
    </xf>
    <xf numFmtId="0" fontId="0" fillId="0" borderId="31" xfId="0" applyBorder="1" applyAlignment="1">
      <alignment horizontal="left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 horizontal="left" wrapText="1"/>
    </xf>
    <xf numFmtId="1" fontId="0" fillId="0" borderId="10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164" fontId="40" fillId="0" borderId="0" xfId="0" applyNumberFormat="1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40" fillId="0" borderId="34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0" fontId="43" fillId="0" borderId="29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5" fillId="0" borderId="37" xfId="0" applyFont="1" applyFill="1" applyBorder="1" applyAlignment="1">
      <alignment/>
    </xf>
    <xf numFmtId="1" fontId="5" fillId="0" borderId="38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34" borderId="25" xfId="0" applyNumberFormat="1" applyFont="1" applyFill="1" applyBorder="1" applyAlignment="1" applyProtection="1">
      <alignment horizontal="center"/>
      <protection locked="0"/>
    </xf>
    <xf numFmtId="1" fontId="5" fillId="0" borderId="25" xfId="0" applyNumberFormat="1" applyFont="1" applyBorder="1" applyAlignment="1" applyProtection="1">
      <alignment horizontal="center"/>
      <protection locked="0"/>
    </xf>
    <xf numFmtId="164" fontId="5" fillId="0" borderId="25" xfId="0" applyNumberFormat="1" applyFont="1" applyBorder="1" applyAlignment="1" applyProtection="1">
      <alignment horizontal="center"/>
      <protection locked="0"/>
    </xf>
    <xf numFmtId="0" fontId="5" fillId="0" borderId="26" xfId="0" applyFont="1" applyFill="1" applyBorder="1" applyAlignment="1">
      <alignment/>
    </xf>
    <xf numFmtId="1" fontId="5" fillId="0" borderId="39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5" fillId="34" borderId="2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Border="1" applyAlignment="1" applyProtection="1">
      <alignment horizontal="center"/>
      <protection locked="0"/>
    </xf>
    <xf numFmtId="164" fontId="5" fillId="0" borderId="26" xfId="0" applyNumberFormat="1" applyFont="1" applyBorder="1" applyAlignment="1" applyProtection="1">
      <alignment horizontal="center"/>
      <protection locked="0"/>
    </xf>
    <xf numFmtId="1" fontId="5" fillId="0" borderId="26" xfId="0" applyNumberFormat="1" applyFont="1" applyBorder="1" applyAlignment="1" applyProtection="1">
      <alignment horizontal="center"/>
      <protection locked="0"/>
    </xf>
    <xf numFmtId="0" fontId="5" fillId="0" borderId="26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1" fontId="5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" fontId="5" fillId="34" borderId="41" xfId="0" applyNumberFormat="1" applyFont="1" applyFill="1" applyBorder="1" applyAlignment="1" applyProtection="1">
      <alignment horizontal="center"/>
      <protection locked="0"/>
    </xf>
    <xf numFmtId="1" fontId="5" fillId="0" borderId="41" xfId="0" applyNumberFormat="1" applyFont="1" applyBorder="1" applyAlignment="1" applyProtection="1">
      <alignment horizontal="center"/>
      <protection locked="0"/>
    </xf>
    <xf numFmtId="164" fontId="5" fillId="0" borderId="41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0" xfId="0" applyFill="1" applyBorder="1" applyAlignment="1">
      <alignment/>
    </xf>
    <xf numFmtId="0" fontId="40" fillId="0" borderId="0" xfId="0" applyFont="1" applyFill="1" applyBorder="1" applyAlignment="1">
      <alignment horizontal="right"/>
    </xf>
    <xf numFmtId="164" fontId="0" fillId="0" borderId="10" xfId="0" applyNumberFormat="1" applyBorder="1" applyAlignment="1">
      <alignment/>
    </xf>
    <xf numFmtId="0" fontId="40" fillId="0" borderId="51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164" fontId="40" fillId="33" borderId="35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0" fillId="0" borderId="11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40" fillId="0" borderId="12" xfId="0" applyNumberFormat="1" applyFont="1" applyFill="1" applyBorder="1" applyAlignment="1">
      <alignment/>
    </xf>
    <xf numFmtId="0" fontId="40" fillId="0" borderId="28" xfId="0" applyFont="1" applyFill="1" applyBorder="1" applyAlignment="1">
      <alignment/>
    </xf>
    <xf numFmtId="1" fontId="40" fillId="0" borderId="29" xfId="0" applyNumberFormat="1" applyFont="1" applyFill="1" applyBorder="1" applyAlignment="1">
      <alignment/>
    </xf>
    <xf numFmtId="1" fontId="40" fillId="0" borderId="30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43" fillId="0" borderId="28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40" fillId="0" borderId="0" xfId="0" applyFont="1" applyFill="1" applyBorder="1" applyAlignment="1" quotePrefix="1">
      <alignment horizontal="right"/>
    </xf>
    <xf numFmtId="0" fontId="4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40" fillId="0" borderId="0" xfId="0" applyFont="1" applyAlignment="1">
      <alignment horizontal="center" wrapText="1"/>
    </xf>
    <xf numFmtId="0" fontId="42" fillId="0" borderId="5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ryl\Documents\Backpack%20Food%20Class\Backpack%20Calorie%20Planning%20table%20CB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ning Table"/>
      <sheetName val="Calorie Density Rankings"/>
      <sheetName val="Dehydrated Meals"/>
      <sheetName val="PowerBars"/>
      <sheetName val="Sheet1"/>
    </sheetNames>
    <sheetDataSet>
      <sheetData sheetId="0">
        <row r="48">
          <cell r="B48">
            <v>56</v>
          </cell>
          <cell r="E48">
            <v>218</v>
          </cell>
        </row>
        <row r="61">
          <cell r="B61">
            <v>145</v>
          </cell>
          <cell r="E61">
            <v>595.9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tabSelected="1" zoomScalePageLayoutView="0" workbookViewId="0" topLeftCell="A69">
      <selection activeCell="J73" sqref="J73"/>
    </sheetView>
  </sheetViews>
  <sheetFormatPr defaultColWidth="9.140625" defaultRowHeight="15"/>
  <cols>
    <col min="1" max="1" width="3.28125" style="0" customWidth="1"/>
    <col min="2" max="2" width="48.57421875" style="0" customWidth="1"/>
    <col min="3" max="4" width="12.00390625" style="0" customWidth="1"/>
    <col min="5" max="5" width="7.421875" style="0" customWidth="1"/>
    <col min="6" max="6" width="11.140625" style="0" customWidth="1"/>
    <col min="7" max="7" width="5.8515625" style="0" customWidth="1"/>
    <col min="8" max="8" width="5.00390625" style="0" customWidth="1"/>
  </cols>
  <sheetData>
    <row r="1" ht="23.25">
      <c r="A1" s="137" t="s">
        <v>0</v>
      </c>
    </row>
    <row r="2" spans="6:8" ht="32.25" customHeight="1">
      <c r="F2" s="144" t="s">
        <v>223</v>
      </c>
      <c r="H2" s="1" t="s">
        <v>234</v>
      </c>
    </row>
    <row r="3" spans="1:8" s="1" customFormat="1" ht="15">
      <c r="A3" s="1" t="s">
        <v>1</v>
      </c>
      <c r="C3" s="50" t="s">
        <v>118</v>
      </c>
      <c r="D3" s="50" t="s">
        <v>143</v>
      </c>
      <c r="F3" s="144"/>
      <c r="G3" s="50" t="s">
        <v>156</v>
      </c>
      <c r="H3" s="1" t="s">
        <v>235</v>
      </c>
    </row>
    <row r="4" spans="1:8" ht="15">
      <c r="A4" s="3"/>
      <c r="B4" s="3" t="s">
        <v>3</v>
      </c>
      <c r="C4" s="140">
        <f>SUM('Food Checklist'!E7:E27)*0.035274</f>
        <v>62.4102882</v>
      </c>
      <c r="D4" s="3">
        <v>1</v>
      </c>
      <c r="F4" s="118">
        <f aca="true" t="shared" si="0" ref="F4:F19">C4*D4</f>
        <v>62.4102882</v>
      </c>
      <c r="G4" s="3"/>
      <c r="H4" s="49">
        <f>F4</f>
        <v>62.4102882</v>
      </c>
    </row>
    <row r="5" spans="1:7" ht="15">
      <c r="A5" s="3"/>
      <c r="B5" s="3" t="s">
        <v>109</v>
      </c>
      <c r="C5" s="118">
        <f>SUM('First Aid Kit'!E4:E13)+SUM('First Aid Kit'!E14:E32)/9</f>
        <v>7.485555555555557</v>
      </c>
      <c r="D5" s="3">
        <v>1</v>
      </c>
      <c r="F5" s="118">
        <f t="shared" si="0"/>
        <v>7.485555555555557</v>
      </c>
      <c r="G5" s="118"/>
    </row>
    <row r="6" spans="1:7" ht="15">
      <c r="A6" s="3"/>
      <c r="B6" s="3" t="s">
        <v>2</v>
      </c>
      <c r="C6" s="3"/>
      <c r="D6" s="3"/>
      <c r="F6" s="3"/>
      <c r="G6" s="3"/>
    </row>
    <row r="7" spans="1:7" ht="15">
      <c r="A7" s="3"/>
      <c r="B7" s="3" t="s">
        <v>242</v>
      </c>
      <c r="C7" s="3"/>
      <c r="D7" s="3"/>
      <c r="F7" s="3"/>
      <c r="G7" s="3"/>
    </row>
    <row r="8" spans="1:7" ht="15">
      <c r="A8" s="3"/>
      <c r="B8" s="3" t="s">
        <v>207</v>
      </c>
      <c r="C8" s="3">
        <v>1.3</v>
      </c>
      <c r="D8" s="3">
        <v>2</v>
      </c>
      <c r="F8" s="3">
        <f t="shared" si="0"/>
        <v>2.6</v>
      </c>
      <c r="G8" s="3"/>
    </row>
    <row r="9" spans="1:7" ht="15">
      <c r="A9" s="3"/>
      <c r="B9" s="3" t="s">
        <v>208</v>
      </c>
      <c r="C9" s="3">
        <v>2.7</v>
      </c>
      <c r="D9" s="3"/>
      <c r="F9" s="3">
        <f t="shared" si="0"/>
        <v>0</v>
      </c>
      <c r="G9" s="3"/>
    </row>
    <row r="10" spans="1:7" ht="15">
      <c r="A10" s="3"/>
      <c r="B10" s="3" t="s">
        <v>209</v>
      </c>
      <c r="C10" s="3">
        <v>6.2</v>
      </c>
      <c r="D10" s="3"/>
      <c r="F10" s="3">
        <f t="shared" si="0"/>
        <v>0</v>
      </c>
      <c r="G10" s="3"/>
    </row>
    <row r="11" spans="1:7" ht="15">
      <c r="A11" s="3"/>
      <c r="B11" s="3" t="s">
        <v>7</v>
      </c>
      <c r="C11" s="3">
        <v>3</v>
      </c>
      <c r="D11" s="3">
        <v>1</v>
      </c>
      <c r="F11" s="3">
        <f t="shared" si="0"/>
        <v>3</v>
      </c>
      <c r="G11" s="3"/>
    </row>
    <row r="12" spans="1:7" ht="15">
      <c r="A12" s="3"/>
      <c r="B12" s="3" t="s">
        <v>60</v>
      </c>
      <c r="C12" s="3">
        <f>0.8+2.6</f>
        <v>3.4000000000000004</v>
      </c>
      <c r="D12" s="3">
        <v>1</v>
      </c>
      <c r="F12" s="3">
        <f t="shared" si="0"/>
        <v>3.4000000000000004</v>
      </c>
      <c r="G12" s="3"/>
    </row>
    <row r="13" spans="1:7" ht="15">
      <c r="A13" s="12"/>
      <c r="B13" s="12" t="s">
        <v>210</v>
      </c>
      <c r="C13" s="12">
        <v>4</v>
      </c>
      <c r="D13" s="12"/>
      <c r="F13" s="3">
        <f t="shared" si="0"/>
        <v>0</v>
      </c>
      <c r="G13" s="12"/>
    </row>
    <row r="14" spans="1:7" ht="15.75" customHeight="1">
      <c r="A14" s="46"/>
      <c r="B14" s="45" t="s">
        <v>78</v>
      </c>
      <c r="C14" s="46">
        <v>3.9</v>
      </c>
      <c r="D14" s="46">
        <v>1</v>
      </c>
      <c r="F14" s="3">
        <f t="shared" si="0"/>
        <v>3.9</v>
      </c>
      <c r="G14" s="46"/>
    </row>
    <row r="15" spans="1:7" ht="16.5" customHeight="1">
      <c r="A15" s="46"/>
      <c r="B15" s="45" t="s">
        <v>110</v>
      </c>
      <c r="C15" s="46">
        <v>2.4</v>
      </c>
      <c r="D15" s="46">
        <v>1</v>
      </c>
      <c r="F15" s="3">
        <f t="shared" si="0"/>
        <v>2.4</v>
      </c>
      <c r="G15" s="46"/>
    </row>
    <row r="16" spans="1:7" ht="15">
      <c r="A16" s="46"/>
      <c r="B16" s="45" t="s">
        <v>241</v>
      </c>
      <c r="C16" s="45">
        <v>0.5</v>
      </c>
      <c r="D16" s="45">
        <v>1</v>
      </c>
      <c r="F16" s="3">
        <f t="shared" si="0"/>
        <v>0.5</v>
      </c>
      <c r="G16" s="45"/>
    </row>
    <row r="17" spans="1:7" ht="15">
      <c r="A17" s="3"/>
      <c r="B17" s="3" t="s">
        <v>142</v>
      </c>
      <c r="C17" s="3">
        <v>2.3</v>
      </c>
      <c r="D17" s="3">
        <v>1</v>
      </c>
      <c r="F17" s="3">
        <f t="shared" si="0"/>
        <v>2.3</v>
      </c>
      <c r="G17" s="3"/>
    </row>
    <row r="18" spans="1:7" ht="15">
      <c r="A18" s="3"/>
      <c r="B18" s="3" t="s">
        <v>79</v>
      </c>
      <c r="C18" s="3">
        <v>1.3</v>
      </c>
      <c r="D18" s="3">
        <v>1</v>
      </c>
      <c r="F18" s="3">
        <f t="shared" si="0"/>
        <v>1.3</v>
      </c>
      <c r="G18" s="3"/>
    </row>
    <row r="19" spans="1:7" ht="15">
      <c r="A19" s="3"/>
      <c r="B19" s="3" t="s">
        <v>111</v>
      </c>
      <c r="C19" s="3">
        <v>2.4</v>
      </c>
      <c r="D19" s="3">
        <v>1</v>
      </c>
      <c r="F19" s="3">
        <f t="shared" si="0"/>
        <v>2.4</v>
      </c>
      <c r="G19" s="3"/>
    </row>
    <row r="20" spans="1:7" ht="15">
      <c r="A20" s="3"/>
      <c r="B20" s="3" t="s">
        <v>45</v>
      </c>
      <c r="C20" s="3">
        <v>2.2</v>
      </c>
      <c r="D20" s="3">
        <v>1</v>
      </c>
      <c r="F20" s="3">
        <f>C20*D20</f>
        <v>2.2</v>
      </c>
      <c r="G20" s="3"/>
    </row>
    <row r="21" spans="1:7" ht="15">
      <c r="A21" s="3"/>
      <c r="B21" s="3" t="s">
        <v>243</v>
      </c>
      <c r="C21" s="3">
        <v>1</v>
      </c>
      <c r="D21" s="3">
        <v>1</v>
      </c>
      <c r="F21" s="3">
        <f>C21*D21</f>
        <v>1</v>
      </c>
      <c r="G21" s="3"/>
    </row>
    <row r="22" spans="3:7" s="1" customFormat="1" ht="15">
      <c r="C22" s="51" t="s">
        <v>23</v>
      </c>
      <c r="D22" s="52"/>
      <c r="F22" s="52">
        <f>SUM(F4:F21)</f>
        <v>94.89584375555556</v>
      </c>
      <c r="G22" s="51"/>
    </row>
    <row r="23" ht="15">
      <c r="A23" s="1" t="s">
        <v>112</v>
      </c>
    </row>
    <row r="24" spans="1:7" ht="15">
      <c r="A24" s="3"/>
      <c r="B24" s="3" t="s">
        <v>41</v>
      </c>
      <c r="C24" s="3">
        <v>48.9</v>
      </c>
      <c r="D24" s="3"/>
      <c r="F24" s="3">
        <f aca="true" t="shared" si="1" ref="F24:F38">C24*D24</f>
        <v>0</v>
      </c>
      <c r="G24" s="3"/>
    </row>
    <row r="25" spans="1:7" ht="15">
      <c r="A25" s="3"/>
      <c r="B25" s="3" t="s">
        <v>137</v>
      </c>
      <c r="C25" s="3">
        <v>44.2</v>
      </c>
      <c r="D25" s="3"/>
      <c r="F25" s="3">
        <f t="shared" si="1"/>
        <v>0</v>
      </c>
      <c r="G25" s="3"/>
    </row>
    <row r="26" spans="1:7" ht="15">
      <c r="A26" s="3"/>
      <c r="B26" s="3" t="s">
        <v>232</v>
      </c>
      <c r="C26" s="3">
        <v>29.1</v>
      </c>
      <c r="D26" s="3">
        <v>1</v>
      </c>
      <c r="F26" s="3">
        <f t="shared" si="1"/>
        <v>29.1</v>
      </c>
      <c r="G26" s="3"/>
    </row>
    <row r="27" spans="1:7" ht="15">
      <c r="A27" s="3"/>
      <c r="B27" s="3" t="s">
        <v>61</v>
      </c>
      <c r="C27" s="3">
        <v>3.4</v>
      </c>
      <c r="D27" s="3">
        <v>1</v>
      </c>
      <c r="F27" s="3">
        <f t="shared" si="1"/>
        <v>3.4</v>
      </c>
      <c r="G27" s="3"/>
    </row>
    <row r="28" spans="1:7" ht="15" customHeight="1">
      <c r="A28" s="3"/>
      <c r="B28" s="3" t="s">
        <v>87</v>
      </c>
      <c r="C28" s="3">
        <v>2.4</v>
      </c>
      <c r="D28" s="3">
        <v>0</v>
      </c>
      <c r="F28" s="3">
        <f t="shared" si="1"/>
        <v>0</v>
      </c>
      <c r="G28" s="3"/>
    </row>
    <row r="29" spans="1:7" ht="15" customHeight="1">
      <c r="A29" s="3"/>
      <c r="B29" s="18" t="s">
        <v>216</v>
      </c>
      <c r="C29" s="18">
        <v>46</v>
      </c>
      <c r="D29" s="18">
        <v>1</v>
      </c>
      <c r="F29" s="3">
        <f t="shared" si="1"/>
        <v>46</v>
      </c>
      <c r="G29" s="18"/>
    </row>
    <row r="30" spans="1:7" ht="15">
      <c r="A30" s="3"/>
      <c r="B30" s="18" t="s">
        <v>116</v>
      </c>
      <c r="C30" s="18">
        <f>37.8+19</f>
        <v>56.8</v>
      </c>
      <c r="D30" s="18"/>
      <c r="F30" s="3">
        <f t="shared" si="1"/>
        <v>0</v>
      </c>
      <c r="G30" s="18"/>
    </row>
    <row r="31" spans="1:7" ht="17.25">
      <c r="A31" s="3"/>
      <c r="B31" s="18" t="s">
        <v>97</v>
      </c>
      <c r="C31" s="18">
        <f>33.4-2.8</f>
        <v>30.599999999999998</v>
      </c>
      <c r="D31" s="18">
        <v>1</v>
      </c>
      <c r="F31" s="3">
        <f t="shared" si="1"/>
        <v>30.599999999999998</v>
      </c>
      <c r="G31" s="18"/>
    </row>
    <row r="32" spans="1:7" ht="17.25">
      <c r="A32" s="3"/>
      <c r="B32" s="18" t="s">
        <v>98</v>
      </c>
      <c r="C32" s="18">
        <f>45.2-4.8</f>
        <v>40.400000000000006</v>
      </c>
      <c r="D32" s="18"/>
      <c r="F32" s="3">
        <f t="shared" si="1"/>
        <v>0</v>
      </c>
      <c r="G32" s="18"/>
    </row>
    <row r="33" spans="1:7" ht="15">
      <c r="A33" s="3"/>
      <c r="B33" s="18" t="s">
        <v>99</v>
      </c>
      <c r="C33" s="18">
        <v>2.5</v>
      </c>
      <c r="D33" s="18">
        <v>1</v>
      </c>
      <c r="F33" s="3">
        <f t="shared" si="1"/>
        <v>2.5</v>
      </c>
      <c r="G33" s="18"/>
    </row>
    <row r="34" spans="1:7" ht="15">
      <c r="A34" s="3"/>
      <c r="B34" s="18" t="s">
        <v>100</v>
      </c>
      <c r="C34" s="18">
        <v>2.5</v>
      </c>
      <c r="D34" s="18">
        <v>1</v>
      </c>
      <c r="F34" s="3">
        <f t="shared" si="1"/>
        <v>2.5</v>
      </c>
      <c r="G34" s="18"/>
    </row>
    <row r="35" spans="1:7" ht="15">
      <c r="A35" s="3"/>
      <c r="B35" s="18" t="s">
        <v>133</v>
      </c>
      <c r="C35" s="18">
        <v>2.8</v>
      </c>
      <c r="D35" s="18"/>
      <c r="F35" s="3">
        <f t="shared" si="1"/>
        <v>0</v>
      </c>
      <c r="G35" s="18"/>
    </row>
    <row r="36" spans="1:7" ht="15">
      <c r="A36" s="3"/>
      <c r="B36" s="3" t="s">
        <v>16</v>
      </c>
      <c r="C36" s="3">
        <v>4.4</v>
      </c>
      <c r="D36" s="3">
        <v>1</v>
      </c>
      <c r="F36" s="3">
        <f t="shared" si="1"/>
        <v>4.4</v>
      </c>
      <c r="G36" s="3"/>
    </row>
    <row r="37" spans="1:7" ht="15">
      <c r="A37" s="3"/>
      <c r="B37" s="3" t="s">
        <v>5</v>
      </c>
      <c r="C37" s="3">
        <v>9.6</v>
      </c>
      <c r="D37" s="3">
        <v>1</v>
      </c>
      <c r="F37" s="3">
        <f t="shared" si="1"/>
        <v>9.6</v>
      </c>
      <c r="G37" s="3"/>
    </row>
    <row r="38" spans="1:7" ht="15">
      <c r="A38" s="3"/>
      <c r="B38" s="3" t="s">
        <v>4</v>
      </c>
      <c r="C38" s="3">
        <v>2.8</v>
      </c>
      <c r="D38" s="3">
        <v>1</v>
      </c>
      <c r="F38" s="3">
        <f t="shared" si="1"/>
        <v>2.8</v>
      </c>
      <c r="G38" s="3"/>
    </row>
    <row r="39" spans="3:7" s="1" customFormat="1" ht="15">
      <c r="C39" s="51" t="s">
        <v>23</v>
      </c>
      <c r="D39" s="52"/>
      <c r="F39" s="1">
        <f>SUM(F24:F38)</f>
        <v>130.9</v>
      </c>
      <c r="G39" s="51"/>
    </row>
    <row r="40" ht="15">
      <c r="A40" s="1" t="s">
        <v>8</v>
      </c>
    </row>
    <row r="41" spans="1:7" ht="15">
      <c r="A41" s="3"/>
      <c r="B41" s="40" t="s">
        <v>88</v>
      </c>
      <c r="C41" s="3">
        <v>11.8</v>
      </c>
      <c r="D41" s="3">
        <v>1</v>
      </c>
      <c r="F41" s="3">
        <f aca="true" t="shared" si="2" ref="F41:F67">C41*D41</f>
        <v>11.8</v>
      </c>
      <c r="G41" s="3"/>
    </row>
    <row r="42" spans="1:7" ht="15">
      <c r="A42" s="3"/>
      <c r="B42" s="40" t="s">
        <v>89</v>
      </c>
      <c r="C42" s="3">
        <v>8.4</v>
      </c>
      <c r="D42" s="3"/>
      <c r="F42" s="3">
        <f t="shared" si="2"/>
        <v>0</v>
      </c>
      <c r="G42" s="3"/>
    </row>
    <row r="43" spans="1:8" ht="15">
      <c r="A43" s="3"/>
      <c r="B43" s="40" t="s">
        <v>101</v>
      </c>
      <c r="C43" s="3">
        <v>3.9</v>
      </c>
      <c r="D43" s="3">
        <v>1</v>
      </c>
      <c r="F43" s="3">
        <f t="shared" si="2"/>
        <v>3.9</v>
      </c>
      <c r="G43" s="3"/>
      <c r="H43">
        <f>F43/2</f>
        <v>1.95</v>
      </c>
    </row>
    <row r="44" spans="1:8" ht="15">
      <c r="A44" s="3"/>
      <c r="B44" s="40" t="s">
        <v>44</v>
      </c>
      <c r="C44" s="3">
        <v>3.3</v>
      </c>
      <c r="D44" s="3">
        <v>1</v>
      </c>
      <c r="F44" s="3">
        <f t="shared" si="2"/>
        <v>3.3</v>
      </c>
      <c r="G44" s="3"/>
      <c r="H44">
        <f>F44</f>
        <v>3.3</v>
      </c>
    </row>
    <row r="45" spans="1:8" ht="15">
      <c r="A45" s="3"/>
      <c r="B45" s="40" t="s">
        <v>40</v>
      </c>
      <c r="C45" s="3">
        <v>2</v>
      </c>
      <c r="D45" s="3">
        <v>1</v>
      </c>
      <c r="F45" s="3">
        <f t="shared" si="2"/>
        <v>2</v>
      </c>
      <c r="G45" s="3"/>
      <c r="H45">
        <f>F45/2</f>
        <v>1</v>
      </c>
    </row>
    <row r="46" spans="1:7" ht="15">
      <c r="A46" s="3"/>
      <c r="B46" s="40" t="s">
        <v>121</v>
      </c>
      <c r="C46" s="3">
        <v>5.2</v>
      </c>
      <c r="D46" s="3">
        <v>1</v>
      </c>
      <c r="F46" s="3">
        <f t="shared" si="2"/>
        <v>5.2</v>
      </c>
      <c r="G46" s="3"/>
    </row>
    <row r="47" spans="1:7" ht="15">
      <c r="A47" s="3"/>
      <c r="B47" s="40" t="s">
        <v>124</v>
      </c>
      <c r="C47" s="3">
        <v>5.5</v>
      </c>
      <c r="D47" s="3">
        <v>1</v>
      </c>
      <c r="F47" s="3">
        <f t="shared" si="2"/>
        <v>5.5</v>
      </c>
      <c r="G47" s="3"/>
    </row>
    <row r="48" spans="1:7" ht="15">
      <c r="A48" s="3"/>
      <c r="B48" s="40" t="s">
        <v>122</v>
      </c>
      <c r="C48" s="3">
        <v>8.1</v>
      </c>
      <c r="D48" s="3"/>
      <c r="F48" s="3">
        <f t="shared" si="2"/>
        <v>0</v>
      </c>
      <c r="G48" s="3"/>
    </row>
    <row r="49" spans="1:7" ht="15">
      <c r="A49" s="3"/>
      <c r="B49" s="40" t="s">
        <v>123</v>
      </c>
      <c r="C49" s="3">
        <v>6.8</v>
      </c>
      <c r="D49" s="3"/>
      <c r="F49" s="3">
        <f t="shared" si="2"/>
        <v>0</v>
      </c>
      <c r="G49" s="3"/>
    </row>
    <row r="50" spans="1:8" ht="15">
      <c r="A50" s="3"/>
      <c r="B50" s="40" t="s">
        <v>91</v>
      </c>
      <c r="C50" s="3">
        <v>4.4</v>
      </c>
      <c r="D50" s="3">
        <v>1</v>
      </c>
      <c r="F50" s="3">
        <f t="shared" si="2"/>
        <v>4.4</v>
      </c>
      <c r="G50" s="3"/>
      <c r="H50">
        <f>F50</f>
        <v>4.4</v>
      </c>
    </row>
    <row r="51" spans="1:7" ht="15">
      <c r="A51" s="3"/>
      <c r="B51" s="40" t="s">
        <v>90</v>
      </c>
      <c r="C51" s="3">
        <v>4.6</v>
      </c>
      <c r="D51" s="3"/>
      <c r="F51" s="3">
        <f t="shared" si="2"/>
        <v>0</v>
      </c>
      <c r="G51" s="3"/>
    </row>
    <row r="52" spans="1:7" ht="15">
      <c r="A52" s="3"/>
      <c r="B52" s="40" t="s">
        <v>94</v>
      </c>
      <c r="C52" s="3">
        <v>6.3</v>
      </c>
      <c r="D52" s="3">
        <v>0</v>
      </c>
      <c r="F52" s="3">
        <f t="shared" si="2"/>
        <v>0</v>
      </c>
      <c r="G52" s="3"/>
    </row>
    <row r="53" spans="1:7" ht="15">
      <c r="A53" s="3"/>
      <c r="B53" s="40" t="s">
        <v>92</v>
      </c>
      <c r="C53" s="3">
        <v>13</v>
      </c>
      <c r="D53" s="3"/>
      <c r="F53" s="3">
        <f t="shared" si="2"/>
        <v>0</v>
      </c>
      <c r="G53" s="3"/>
    </row>
    <row r="54" spans="1:7" ht="15">
      <c r="A54" s="3"/>
      <c r="B54" s="40" t="s">
        <v>93</v>
      </c>
      <c r="C54" s="3">
        <v>9.9</v>
      </c>
      <c r="D54" s="3"/>
      <c r="F54" s="3">
        <f t="shared" si="2"/>
        <v>0</v>
      </c>
      <c r="G54" s="3"/>
    </row>
    <row r="55" spans="1:7" ht="15">
      <c r="A55" s="3"/>
      <c r="B55" s="40" t="s">
        <v>226</v>
      </c>
      <c r="C55" s="3">
        <v>7</v>
      </c>
      <c r="D55" s="3">
        <v>1</v>
      </c>
      <c r="F55" s="3">
        <f t="shared" si="2"/>
        <v>7</v>
      </c>
      <c r="G55" s="3"/>
    </row>
    <row r="56" spans="1:7" ht="15">
      <c r="A56" s="3"/>
      <c r="B56" s="40" t="s">
        <v>103</v>
      </c>
      <c r="C56" s="3">
        <v>1.4</v>
      </c>
      <c r="D56" s="3">
        <v>1</v>
      </c>
      <c r="F56" s="3">
        <f t="shared" si="2"/>
        <v>1.4</v>
      </c>
      <c r="G56" s="3"/>
    </row>
    <row r="57" spans="1:7" ht="15">
      <c r="A57" s="3"/>
      <c r="B57" s="40" t="s">
        <v>104</v>
      </c>
      <c r="C57" s="3">
        <v>2.6</v>
      </c>
      <c r="D57" s="3">
        <v>0</v>
      </c>
      <c r="F57" s="3">
        <f t="shared" si="2"/>
        <v>0</v>
      </c>
      <c r="G57" s="3"/>
    </row>
    <row r="58" spans="1:7" ht="15">
      <c r="A58" s="3"/>
      <c r="B58" s="40" t="s">
        <v>105</v>
      </c>
      <c r="C58" s="3">
        <v>2.5</v>
      </c>
      <c r="D58" s="3"/>
      <c r="F58" s="3">
        <f t="shared" si="2"/>
        <v>0</v>
      </c>
      <c r="G58" s="3"/>
    </row>
    <row r="59" spans="1:7" ht="15">
      <c r="A59" s="3"/>
      <c r="B59" s="40" t="s">
        <v>106</v>
      </c>
      <c r="C59" s="3">
        <v>2.4</v>
      </c>
      <c r="D59" s="3"/>
      <c r="F59" s="3">
        <f t="shared" si="2"/>
        <v>0</v>
      </c>
      <c r="G59" s="3"/>
    </row>
    <row r="60" spans="1:7" ht="15">
      <c r="A60" s="3"/>
      <c r="B60" s="40" t="s">
        <v>9</v>
      </c>
      <c r="C60" s="3">
        <v>3.2</v>
      </c>
      <c r="D60" s="3">
        <v>1</v>
      </c>
      <c r="F60" s="3">
        <f t="shared" si="2"/>
        <v>3.2</v>
      </c>
      <c r="G60" s="3"/>
    </row>
    <row r="61" spans="1:7" ht="15">
      <c r="A61" s="3"/>
      <c r="B61" s="40" t="s">
        <v>107</v>
      </c>
      <c r="C61" s="3">
        <v>6</v>
      </c>
      <c r="D61" s="3">
        <v>1</v>
      </c>
      <c r="F61" s="3">
        <f t="shared" si="2"/>
        <v>6</v>
      </c>
      <c r="G61" s="3"/>
    </row>
    <row r="62" spans="1:7" ht="15">
      <c r="A62" s="3"/>
      <c r="B62" s="40" t="s">
        <v>102</v>
      </c>
      <c r="C62" s="3">
        <v>11.2</v>
      </c>
      <c r="D62" s="3">
        <v>1</v>
      </c>
      <c r="F62" s="3">
        <f t="shared" si="2"/>
        <v>11.2</v>
      </c>
      <c r="G62" s="3"/>
    </row>
    <row r="63" spans="1:7" ht="15" customHeight="1">
      <c r="A63" s="3"/>
      <c r="B63" s="40" t="s">
        <v>95</v>
      </c>
      <c r="C63" s="3">
        <v>35</v>
      </c>
      <c r="D63" s="3"/>
      <c r="F63" s="3">
        <f t="shared" si="2"/>
        <v>0</v>
      </c>
      <c r="G63" s="3"/>
    </row>
    <row r="64" spans="1:8" ht="15">
      <c r="A64" s="3"/>
      <c r="B64" s="40" t="s">
        <v>96</v>
      </c>
      <c r="C64" s="3">
        <v>20</v>
      </c>
      <c r="D64" s="3">
        <v>1</v>
      </c>
      <c r="F64" s="3">
        <f t="shared" si="2"/>
        <v>20</v>
      </c>
      <c r="G64" s="3"/>
      <c r="H64">
        <f>F64</f>
        <v>20</v>
      </c>
    </row>
    <row r="65" spans="1:7" ht="15">
      <c r="A65" s="3"/>
      <c r="B65" s="40" t="s">
        <v>135</v>
      </c>
      <c r="C65" s="3">
        <v>3.1</v>
      </c>
      <c r="D65" s="3"/>
      <c r="F65" s="3">
        <f t="shared" si="2"/>
        <v>0</v>
      </c>
      <c r="G65" s="3"/>
    </row>
    <row r="66" spans="1:7" ht="15">
      <c r="A66" s="3"/>
      <c r="B66" s="40" t="s">
        <v>136</v>
      </c>
      <c r="C66" s="3">
        <v>9.4</v>
      </c>
      <c r="D66" s="3"/>
      <c r="F66" s="3">
        <f t="shared" si="2"/>
        <v>0</v>
      </c>
      <c r="G66" s="3"/>
    </row>
    <row r="67" spans="1:7" s="1" customFormat="1" ht="15">
      <c r="A67" s="3"/>
      <c r="B67" s="40" t="s">
        <v>233</v>
      </c>
      <c r="C67" s="3">
        <v>4.3</v>
      </c>
      <c r="D67" s="3"/>
      <c r="F67" s="3">
        <f t="shared" si="2"/>
        <v>0</v>
      </c>
      <c r="G67" s="3"/>
    </row>
    <row r="68" spans="1:7" ht="15">
      <c r="A68" s="1"/>
      <c r="B68" s="1"/>
      <c r="C68" s="51" t="s">
        <v>23</v>
      </c>
      <c r="D68" s="52"/>
      <c r="F68" s="119">
        <f>SUM(F41:F67)</f>
        <v>84.9</v>
      </c>
      <c r="G68" s="51"/>
    </row>
    <row r="69" ht="15">
      <c r="A69" s="1" t="s">
        <v>6</v>
      </c>
    </row>
    <row r="70" spans="1:7" ht="30">
      <c r="A70" s="3"/>
      <c r="B70" s="18" t="s">
        <v>140</v>
      </c>
      <c r="C70" s="18">
        <f>6.9+1.6</f>
        <v>8.5</v>
      </c>
      <c r="D70" s="18"/>
      <c r="F70" s="3">
        <f aca="true" t="shared" si="3" ref="F70:F88">C70*D70</f>
        <v>0</v>
      </c>
      <c r="G70" s="18"/>
    </row>
    <row r="71" spans="1:7" ht="15">
      <c r="A71" s="3"/>
      <c r="B71" s="18" t="s">
        <v>81</v>
      </c>
      <c r="C71" s="18">
        <v>3.9</v>
      </c>
      <c r="D71" s="18"/>
      <c r="F71" s="3">
        <f t="shared" si="3"/>
        <v>0</v>
      </c>
      <c r="G71" s="18"/>
    </row>
    <row r="72" spans="1:7" ht="15">
      <c r="A72" s="3"/>
      <c r="B72" s="18" t="s">
        <v>244</v>
      </c>
      <c r="C72" s="18">
        <v>5.6</v>
      </c>
      <c r="D72" s="18">
        <v>1</v>
      </c>
      <c r="F72" s="3">
        <f t="shared" si="3"/>
        <v>5.6</v>
      </c>
      <c r="G72" s="18"/>
    </row>
    <row r="73" spans="1:7" ht="15">
      <c r="A73" s="3"/>
      <c r="B73" s="18" t="s">
        <v>80</v>
      </c>
      <c r="C73" s="18">
        <v>11</v>
      </c>
      <c r="D73" s="18"/>
      <c r="F73" s="3">
        <f t="shared" si="3"/>
        <v>0</v>
      </c>
      <c r="G73" s="18"/>
    </row>
    <row r="74" spans="1:8" ht="15">
      <c r="A74" s="3"/>
      <c r="B74" s="18" t="s">
        <v>141</v>
      </c>
      <c r="C74" s="18">
        <v>4.8</v>
      </c>
      <c r="D74" s="18">
        <v>1.5</v>
      </c>
      <c r="F74" s="3">
        <f t="shared" si="3"/>
        <v>7.199999999999999</v>
      </c>
      <c r="G74" s="18"/>
      <c r="H74">
        <f>F74</f>
        <v>7.199999999999999</v>
      </c>
    </row>
    <row r="75" spans="1:7" ht="15">
      <c r="A75" s="3"/>
      <c r="B75" s="3" t="s">
        <v>117</v>
      </c>
      <c r="C75" s="3">
        <v>2.1</v>
      </c>
      <c r="D75" s="3">
        <v>1</v>
      </c>
      <c r="F75" s="3">
        <f t="shared" si="3"/>
        <v>2.1</v>
      </c>
      <c r="G75" s="3"/>
    </row>
    <row r="76" spans="1:7" ht="15">
      <c r="A76" s="3"/>
      <c r="B76" s="3" t="s">
        <v>125</v>
      </c>
      <c r="C76" s="3">
        <v>4.5</v>
      </c>
      <c r="D76" s="3"/>
      <c r="F76" s="3">
        <f t="shared" si="3"/>
        <v>0</v>
      </c>
      <c r="G76" s="3"/>
    </row>
    <row r="77" spans="1:7" ht="15">
      <c r="A77" s="3"/>
      <c r="B77" s="3" t="s">
        <v>126</v>
      </c>
      <c r="C77" s="3">
        <v>4.7</v>
      </c>
      <c r="D77" s="3">
        <v>1</v>
      </c>
      <c r="F77" s="3">
        <f t="shared" si="3"/>
        <v>4.7</v>
      </c>
      <c r="G77" s="3"/>
    </row>
    <row r="78" spans="1:7" ht="15">
      <c r="A78" s="3"/>
      <c r="B78" s="3" t="s">
        <v>134</v>
      </c>
      <c r="C78" s="3">
        <v>4.3</v>
      </c>
      <c r="D78" s="3"/>
      <c r="F78" s="3">
        <f t="shared" si="3"/>
        <v>0</v>
      </c>
      <c r="G78" s="3"/>
    </row>
    <row r="79" spans="1:7" ht="14.25" customHeight="1">
      <c r="A79" s="3"/>
      <c r="B79" s="3" t="s">
        <v>76</v>
      </c>
      <c r="C79" s="3">
        <v>4.4</v>
      </c>
      <c r="D79" s="3">
        <v>1</v>
      </c>
      <c r="F79" s="3">
        <f t="shared" si="3"/>
        <v>4.4</v>
      </c>
      <c r="G79" s="3"/>
    </row>
    <row r="80" spans="1:7" ht="15">
      <c r="A80" s="3"/>
      <c r="B80" s="3" t="s">
        <v>42</v>
      </c>
      <c r="C80" s="3">
        <v>1.2</v>
      </c>
      <c r="D80" s="3">
        <v>0</v>
      </c>
      <c r="F80" s="3">
        <f t="shared" si="3"/>
        <v>0</v>
      </c>
      <c r="G80" s="3"/>
    </row>
    <row r="81" spans="1:7" ht="15">
      <c r="A81" s="3"/>
      <c r="B81" s="3" t="s">
        <v>227</v>
      </c>
      <c r="C81" s="3">
        <v>0.3</v>
      </c>
      <c r="D81" s="3">
        <v>1</v>
      </c>
      <c r="F81" s="3">
        <f t="shared" si="3"/>
        <v>0.3</v>
      </c>
      <c r="G81" s="3"/>
    </row>
    <row r="82" spans="1:7" ht="15">
      <c r="A82" s="3"/>
      <c r="B82" s="3" t="s">
        <v>82</v>
      </c>
      <c r="C82" s="3">
        <v>1.5</v>
      </c>
      <c r="D82" s="3">
        <v>0</v>
      </c>
      <c r="F82" s="3">
        <f t="shared" si="3"/>
        <v>0</v>
      </c>
      <c r="G82" s="3"/>
    </row>
    <row r="83" spans="1:7" ht="15">
      <c r="A83" s="3"/>
      <c r="B83" s="3" t="s">
        <v>43</v>
      </c>
      <c r="C83" s="3">
        <v>1.5</v>
      </c>
      <c r="D83" s="3">
        <v>0</v>
      </c>
      <c r="F83" s="3">
        <f t="shared" si="3"/>
        <v>0</v>
      </c>
      <c r="G83" s="3"/>
    </row>
    <row r="84" spans="1:7" ht="15">
      <c r="A84" s="3"/>
      <c r="B84" s="3" t="s">
        <v>17</v>
      </c>
      <c r="C84" s="3">
        <v>2.2</v>
      </c>
      <c r="D84" s="3">
        <v>0</v>
      </c>
      <c r="F84" s="3">
        <f t="shared" si="3"/>
        <v>0</v>
      </c>
      <c r="G84" s="3"/>
    </row>
    <row r="85" spans="1:7" ht="15">
      <c r="A85" s="3"/>
      <c r="B85" s="3" t="s">
        <v>83</v>
      </c>
      <c r="C85" s="3">
        <v>0.8</v>
      </c>
      <c r="D85" s="3">
        <v>1</v>
      </c>
      <c r="F85" s="3">
        <f t="shared" si="3"/>
        <v>0.8</v>
      </c>
      <c r="G85" s="3"/>
    </row>
    <row r="86" spans="1:7" ht="15">
      <c r="A86" s="3"/>
      <c r="B86" s="3" t="s">
        <v>18</v>
      </c>
      <c r="C86" s="3">
        <v>2</v>
      </c>
      <c r="D86" s="3">
        <v>1</v>
      </c>
      <c r="F86" s="3">
        <f t="shared" si="3"/>
        <v>2</v>
      </c>
      <c r="G86" s="3"/>
    </row>
    <row r="87" spans="1:7" ht="15">
      <c r="A87" s="3"/>
      <c r="B87" s="3" t="s">
        <v>84</v>
      </c>
      <c r="C87" s="3">
        <v>40.8</v>
      </c>
      <c r="D87" s="3"/>
      <c r="F87" s="3">
        <f t="shared" si="3"/>
        <v>0</v>
      </c>
      <c r="G87" s="3"/>
    </row>
    <row r="88" spans="1:7" s="1" customFormat="1" ht="15">
      <c r="A88" s="3"/>
      <c r="B88" s="3" t="s">
        <v>85</v>
      </c>
      <c r="C88" s="3">
        <f>9.3-1.5</f>
        <v>7.800000000000001</v>
      </c>
      <c r="D88" s="3">
        <v>1</v>
      </c>
      <c r="F88" s="3">
        <f t="shared" si="3"/>
        <v>7.800000000000001</v>
      </c>
      <c r="G88" s="3"/>
    </row>
    <row r="89" spans="1:7" ht="15">
      <c r="A89" s="1"/>
      <c r="B89" s="1"/>
      <c r="C89" s="51" t="s">
        <v>23</v>
      </c>
      <c r="D89" s="52"/>
      <c r="F89" s="52">
        <f>SUM(F70:F88)</f>
        <v>34.900000000000006</v>
      </c>
      <c r="G89" s="51"/>
    </row>
    <row r="90" ht="15">
      <c r="A90" s="1" t="s">
        <v>10</v>
      </c>
    </row>
    <row r="91" spans="1:7" ht="30">
      <c r="A91" s="3"/>
      <c r="B91" s="41" t="s">
        <v>34</v>
      </c>
      <c r="C91" s="3">
        <v>2.5</v>
      </c>
      <c r="D91" s="3">
        <v>1</v>
      </c>
      <c r="F91" s="3">
        <f aca="true" t="shared" si="4" ref="F91:F105">C91*D91</f>
        <v>2.5</v>
      </c>
      <c r="G91" s="3"/>
    </row>
    <row r="92" spans="1:7" ht="15">
      <c r="A92" s="3"/>
      <c r="B92" s="41" t="s">
        <v>138</v>
      </c>
      <c r="C92" s="3">
        <v>1.1</v>
      </c>
      <c r="D92" s="3"/>
      <c r="F92" s="3">
        <f t="shared" si="4"/>
        <v>0</v>
      </c>
      <c r="G92" s="3"/>
    </row>
    <row r="93" spans="1:7" ht="15">
      <c r="A93" s="3"/>
      <c r="B93" s="37" t="s">
        <v>62</v>
      </c>
      <c r="C93" s="3">
        <v>2.9</v>
      </c>
      <c r="D93" s="3">
        <v>1</v>
      </c>
      <c r="F93" s="3">
        <f t="shared" si="4"/>
        <v>2.9</v>
      </c>
      <c r="G93" s="3"/>
    </row>
    <row r="94" spans="1:7" ht="15">
      <c r="A94" s="3"/>
      <c r="B94" s="40" t="s">
        <v>12</v>
      </c>
      <c r="C94" s="3">
        <v>1.4</v>
      </c>
      <c r="D94" s="3">
        <v>1</v>
      </c>
      <c r="F94" s="3">
        <f t="shared" si="4"/>
        <v>1.4</v>
      </c>
      <c r="G94" s="3"/>
    </row>
    <row r="95" spans="1:7" ht="15">
      <c r="A95" s="3"/>
      <c r="B95" s="40" t="s">
        <v>11</v>
      </c>
      <c r="C95" s="3">
        <v>1.6</v>
      </c>
      <c r="D95" s="3">
        <v>1</v>
      </c>
      <c r="F95" s="3">
        <f t="shared" si="4"/>
        <v>1.6</v>
      </c>
      <c r="G95" s="3"/>
    </row>
    <row r="96" spans="1:7" ht="15">
      <c r="A96" s="3"/>
      <c r="B96" s="40" t="s">
        <v>13</v>
      </c>
      <c r="C96" s="3">
        <v>1.3</v>
      </c>
      <c r="D96" s="3">
        <v>1</v>
      </c>
      <c r="F96" s="3">
        <f t="shared" si="4"/>
        <v>1.3</v>
      </c>
      <c r="G96" s="3"/>
    </row>
    <row r="97" spans="1:7" ht="15">
      <c r="A97" s="3"/>
      <c r="B97" s="40" t="s">
        <v>14</v>
      </c>
      <c r="C97" s="3">
        <v>0.3</v>
      </c>
      <c r="D97" s="3">
        <v>1</v>
      </c>
      <c r="F97" s="3">
        <f t="shared" si="4"/>
        <v>0.3</v>
      </c>
      <c r="G97" s="3"/>
    </row>
    <row r="98" spans="1:7" ht="15">
      <c r="A98" s="3"/>
      <c r="B98" s="40" t="s">
        <v>127</v>
      </c>
      <c r="C98" s="3">
        <v>4.7</v>
      </c>
      <c r="D98" s="3"/>
      <c r="F98" s="3">
        <f t="shared" si="4"/>
        <v>0</v>
      </c>
      <c r="G98" s="3"/>
    </row>
    <row r="99" spans="1:7" ht="15">
      <c r="A99" s="3"/>
      <c r="B99" s="40" t="s">
        <v>35</v>
      </c>
      <c r="C99" s="3">
        <v>0.9</v>
      </c>
      <c r="D99" s="3">
        <v>1</v>
      </c>
      <c r="F99" s="3">
        <f t="shared" si="4"/>
        <v>0.9</v>
      </c>
      <c r="G99" s="3"/>
    </row>
    <row r="100" spans="1:7" ht="15">
      <c r="A100" s="3"/>
      <c r="B100" s="40" t="s">
        <v>211</v>
      </c>
      <c r="C100" s="3">
        <v>2.2</v>
      </c>
      <c r="D100" s="3">
        <v>1</v>
      </c>
      <c r="F100" s="3">
        <f t="shared" si="4"/>
        <v>2.2</v>
      </c>
      <c r="G100" s="3"/>
    </row>
    <row r="101" spans="1:7" s="1" customFormat="1" ht="15">
      <c r="A101" s="3"/>
      <c r="B101" s="40" t="s">
        <v>115</v>
      </c>
      <c r="C101" s="3">
        <v>1.3</v>
      </c>
      <c r="D101" s="3"/>
      <c r="F101" s="3">
        <f t="shared" si="4"/>
        <v>0</v>
      </c>
      <c r="G101" s="3"/>
    </row>
    <row r="102" spans="1:7" s="1" customFormat="1" ht="15">
      <c r="A102" s="3"/>
      <c r="B102" s="40" t="s">
        <v>212</v>
      </c>
      <c r="C102" s="3">
        <v>0.5</v>
      </c>
      <c r="D102" s="3">
        <v>1</v>
      </c>
      <c r="F102" s="3">
        <f t="shared" si="4"/>
        <v>0.5</v>
      </c>
      <c r="G102" s="3"/>
    </row>
    <row r="103" spans="1:7" s="1" customFormat="1" ht="15">
      <c r="A103" s="3"/>
      <c r="B103" s="40" t="s">
        <v>213</v>
      </c>
      <c r="C103" s="3">
        <v>0.6</v>
      </c>
      <c r="D103" s="3">
        <v>0</v>
      </c>
      <c r="F103" s="3">
        <f t="shared" si="4"/>
        <v>0</v>
      </c>
      <c r="G103" s="3"/>
    </row>
    <row r="104" spans="1:7" s="1" customFormat="1" ht="15">
      <c r="A104" s="3"/>
      <c r="B104" s="40" t="s">
        <v>139</v>
      </c>
      <c r="C104" s="3">
        <v>0.8</v>
      </c>
      <c r="D104" s="3"/>
      <c r="F104" s="3">
        <f t="shared" si="4"/>
        <v>0</v>
      </c>
      <c r="G104" s="3"/>
    </row>
    <row r="105" spans="1:7" ht="15">
      <c r="A105" s="3"/>
      <c r="B105" s="40" t="s">
        <v>86</v>
      </c>
      <c r="C105" s="3">
        <v>1.4</v>
      </c>
      <c r="D105" s="3">
        <v>1</v>
      </c>
      <c r="F105" s="3">
        <f t="shared" si="4"/>
        <v>1.4</v>
      </c>
      <c r="G105" s="3"/>
    </row>
    <row r="106" spans="1:7" ht="15">
      <c r="A106" s="1"/>
      <c r="B106" s="1"/>
      <c r="C106" s="51" t="s">
        <v>23</v>
      </c>
      <c r="D106" s="52"/>
      <c r="F106" s="52">
        <f>SUM(F91:F105)</f>
        <v>15.000000000000002</v>
      </c>
      <c r="G106" s="51"/>
    </row>
    <row r="107" ht="15">
      <c r="A107" s="1" t="s">
        <v>15</v>
      </c>
    </row>
    <row r="108" spans="1:7" ht="15">
      <c r="A108" s="3"/>
      <c r="B108" s="40" t="s">
        <v>236</v>
      </c>
      <c r="C108" s="3">
        <v>8</v>
      </c>
      <c r="D108" s="3">
        <v>1</v>
      </c>
      <c r="F108" s="3">
        <f aca="true" t="shared" si="5" ref="F108:F117">C108*D108</f>
        <v>8</v>
      </c>
      <c r="G108" s="3"/>
    </row>
    <row r="109" spans="1:7" ht="15">
      <c r="A109" s="3"/>
      <c r="B109" s="40" t="s">
        <v>128</v>
      </c>
      <c r="C109" s="3">
        <v>2</v>
      </c>
      <c r="D109" s="3">
        <v>1</v>
      </c>
      <c r="F109" s="3">
        <f t="shared" si="5"/>
        <v>2</v>
      </c>
      <c r="G109" s="3"/>
    </row>
    <row r="110" spans="1:7" ht="16.5" customHeight="1">
      <c r="A110" s="3"/>
      <c r="B110" s="44" t="s">
        <v>108</v>
      </c>
      <c r="C110" s="3">
        <v>1</v>
      </c>
      <c r="D110" s="3">
        <v>1</v>
      </c>
      <c r="F110" s="3">
        <f t="shared" si="5"/>
        <v>1</v>
      </c>
      <c r="G110" s="3"/>
    </row>
    <row r="111" spans="1:7" ht="15">
      <c r="A111" s="3"/>
      <c r="B111" s="44" t="s">
        <v>113</v>
      </c>
      <c r="C111" s="3">
        <v>2</v>
      </c>
      <c r="D111" s="3"/>
      <c r="F111" s="3">
        <f t="shared" si="5"/>
        <v>0</v>
      </c>
      <c r="G111" s="3"/>
    </row>
    <row r="112" spans="1:7" s="1" customFormat="1" ht="15">
      <c r="A112" s="3"/>
      <c r="B112" s="3" t="s">
        <v>77</v>
      </c>
      <c r="C112" s="3">
        <v>10</v>
      </c>
      <c r="D112" s="3">
        <v>1</v>
      </c>
      <c r="F112" s="3">
        <f t="shared" si="5"/>
        <v>10</v>
      </c>
      <c r="G112" s="3"/>
    </row>
    <row r="113" spans="1:7" s="1" customFormat="1" ht="15">
      <c r="A113" s="3"/>
      <c r="B113" s="53" t="s">
        <v>129</v>
      </c>
      <c r="C113" s="3">
        <v>12</v>
      </c>
      <c r="D113" s="3">
        <v>1</v>
      </c>
      <c r="F113" s="3">
        <f t="shared" si="5"/>
        <v>12</v>
      </c>
      <c r="G113" s="3"/>
    </row>
    <row r="114" spans="1:7" s="1" customFormat="1" ht="15">
      <c r="A114" s="3"/>
      <c r="B114" s="53" t="s">
        <v>130</v>
      </c>
      <c r="C114" s="3">
        <v>1.1</v>
      </c>
      <c r="D114" s="3"/>
      <c r="F114" s="3">
        <f t="shared" si="5"/>
        <v>0</v>
      </c>
      <c r="G114" s="3"/>
    </row>
    <row r="115" spans="1:7" s="1" customFormat="1" ht="15">
      <c r="A115" s="3"/>
      <c r="B115" s="53" t="s">
        <v>131</v>
      </c>
      <c r="C115" s="3">
        <v>12.1</v>
      </c>
      <c r="D115" s="3"/>
      <c r="F115" s="3">
        <f t="shared" si="5"/>
        <v>0</v>
      </c>
      <c r="G115" s="3"/>
    </row>
    <row r="116" spans="1:7" s="1" customFormat="1" ht="15">
      <c r="A116" s="3"/>
      <c r="B116" s="53" t="s">
        <v>132</v>
      </c>
      <c r="C116" s="3">
        <v>4.2</v>
      </c>
      <c r="D116" s="3"/>
      <c r="F116" s="3">
        <f t="shared" si="5"/>
        <v>0</v>
      </c>
      <c r="G116" s="3"/>
    </row>
    <row r="117" spans="1:7" ht="30">
      <c r="A117" s="18"/>
      <c r="B117" s="48" t="s">
        <v>114</v>
      </c>
      <c r="C117" s="47">
        <v>2.5</v>
      </c>
      <c r="D117" s="47">
        <v>1</v>
      </c>
      <c r="F117" s="3">
        <f t="shared" si="5"/>
        <v>2.5</v>
      </c>
      <c r="G117" s="47"/>
    </row>
    <row r="118" spans="3:7" s="1" customFormat="1" ht="15">
      <c r="C118" s="51" t="s">
        <v>23</v>
      </c>
      <c r="D118" s="52"/>
      <c r="F118" s="52">
        <f>SUM(F108:F117)</f>
        <v>35.5</v>
      </c>
      <c r="G118" s="51"/>
    </row>
    <row r="119" spans="3:7" s="1" customFormat="1" ht="19.5" customHeight="1">
      <c r="C119" s="51"/>
      <c r="D119" s="52"/>
      <c r="F119" s="52"/>
      <c r="G119" s="51"/>
    </row>
    <row r="120" spans="1:7" ht="15">
      <c r="A120" s="1"/>
      <c r="B120" s="1"/>
      <c r="C120" s="142" t="s">
        <v>119</v>
      </c>
      <c r="D120" s="52"/>
      <c r="F120" s="52">
        <f>SUM(F118,F106,F68,F89,F39,F22)</f>
        <v>396.0958437555556</v>
      </c>
      <c r="G120" s="51"/>
    </row>
    <row r="121" spans="3:7" ht="15">
      <c r="C121" s="142" t="s">
        <v>120</v>
      </c>
      <c r="D121" s="52"/>
      <c r="F121" s="52">
        <f>F120*0.0625</f>
        <v>24.755990234722226</v>
      </c>
      <c r="G121" s="51"/>
    </row>
    <row r="122" spans="3:7" ht="15">
      <c r="C122" s="120" t="s">
        <v>240</v>
      </c>
      <c r="F122" s="52">
        <f>SUM(H4:H117)*0.0625</f>
        <v>6.2662680125</v>
      </c>
      <c r="G122" s="120"/>
    </row>
    <row r="123" spans="3:7" ht="15.75" thickBot="1">
      <c r="C123" s="117"/>
      <c r="F123" s="49"/>
      <c r="G123" s="117"/>
    </row>
    <row r="124" spans="3:7" ht="15.75" thickBot="1">
      <c r="C124" s="117" t="s">
        <v>217</v>
      </c>
      <c r="F124" s="121">
        <f>F121-F122</f>
        <v>18.489722222222227</v>
      </c>
      <c r="G124" s="117"/>
    </row>
    <row r="125" spans="3:9" ht="15">
      <c r="C125" s="141" t="s">
        <v>237</v>
      </c>
      <c r="F125" s="52">
        <f>SUM('Food Checklist'!E7:E27)*0.002205</f>
        <v>3.9013064999999996</v>
      </c>
      <c r="G125" s="117"/>
      <c r="H125" s="143">
        <f>'Food Checklist'!E29</f>
        <v>1.5602292768959436</v>
      </c>
      <c r="I125" t="s">
        <v>239</v>
      </c>
    </row>
    <row r="126" spans="3:7" ht="15.75" thickBot="1">
      <c r="C126" s="141" t="s">
        <v>238</v>
      </c>
      <c r="F126" s="52">
        <f>2.2*1.5+(F8*0.0625)</f>
        <v>3.4625000000000004</v>
      </c>
      <c r="G126" s="117"/>
    </row>
    <row r="127" spans="3:7" ht="15.75" thickBot="1">
      <c r="C127" s="117" t="s">
        <v>218</v>
      </c>
      <c r="F127" s="121">
        <f>SUM(F124:F126)</f>
        <v>25.85352872222223</v>
      </c>
      <c r="G127" s="117"/>
    </row>
  </sheetData>
  <sheetProtection/>
  <mergeCells count="1">
    <mergeCell ref="F2:F3"/>
  </mergeCells>
  <printOptions/>
  <pageMargins left="0.5" right="0.25" top="0.75" bottom="0.75" header="0.3" footer="0.3"/>
  <pageSetup fitToHeight="0" fitToWidth="1" horizontalDpi="600" verticalDpi="600" orientation="portrait" scale="83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5.7109375" style="0" customWidth="1"/>
    <col min="2" max="3" width="6.8515625" style="0" customWidth="1"/>
    <col min="4" max="4" width="4.421875" style="0" customWidth="1"/>
    <col min="5" max="5" width="42.7109375" style="0" customWidth="1"/>
    <col min="6" max="7" width="6.7109375" style="0" customWidth="1"/>
    <col min="8" max="8" width="4.00390625" style="0" customWidth="1"/>
    <col min="9" max="9" width="42.8515625" style="38" customWidth="1"/>
    <col min="10" max="11" width="7.28125" style="38" customWidth="1"/>
  </cols>
  <sheetData>
    <row r="1" spans="1:9" ht="18.75">
      <c r="A1" s="2" t="s">
        <v>25</v>
      </c>
      <c r="C1">
        <f>3*16+7</f>
        <v>55</v>
      </c>
      <c r="E1" s="2" t="s">
        <v>50</v>
      </c>
      <c r="I1" s="122" t="s">
        <v>56</v>
      </c>
    </row>
    <row r="2" spans="1:9" ht="19.5" thickBot="1">
      <c r="A2" s="2" t="s">
        <v>51</v>
      </c>
      <c r="C2">
        <f>C1/2</f>
        <v>27.5</v>
      </c>
      <c r="E2" s="2" t="s">
        <v>51</v>
      </c>
      <c r="I2" s="122" t="s">
        <v>51</v>
      </c>
    </row>
    <row r="3" spans="1:11" s="1" customFormat="1" ht="15.75" thickBot="1">
      <c r="A3" s="5" t="s">
        <v>19</v>
      </c>
      <c r="B3" s="6" t="s">
        <v>20</v>
      </c>
      <c r="C3" s="6" t="s">
        <v>21</v>
      </c>
      <c r="E3" s="5" t="s">
        <v>19</v>
      </c>
      <c r="F3" s="6" t="s">
        <v>20</v>
      </c>
      <c r="G3" s="6" t="s">
        <v>21</v>
      </c>
      <c r="I3" s="123" t="s">
        <v>19</v>
      </c>
      <c r="J3" s="124" t="s">
        <v>20</v>
      </c>
      <c r="K3" s="124" t="s">
        <v>21</v>
      </c>
    </row>
    <row r="4" spans="1:11" ht="15">
      <c r="A4" s="7" t="s">
        <v>214</v>
      </c>
      <c r="B4" s="16">
        <f>J4</f>
        <v>2</v>
      </c>
      <c r="C4" s="16">
        <f>K4</f>
        <v>14</v>
      </c>
      <c r="E4" s="7" t="s">
        <v>75</v>
      </c>
      <c r="F4" s="43">
        <f>27.5/16-0.71</f>
        <v>1.00875</v>
      </c>
      <c r="G4" s="43">
        <f>0.71*16</f>
        <v>11.36</v>
      </c>
      <c r="I4" s="125" t="s">
        <v>215</v>
      </c>
      <c r="J4" s="16">
        <v>2</v>
      </c>
      <c r="K4" s="16">
        <v>14</v>
      </c>
    </row>
    <row r="5" spans="1:11" ht="15">
      <c r="A5" s="39" t="s">
        <v>63</v>
      </c>
      <c r="B5" s="17"/>
      <c r="C5" s="42">
        <f>K5</f>
        <v>9.6</v>
      </c>
      <c r="D5" s="38"/>
      <c r="E5" s="39" t="s">
        <v>63</v>
      </c>
      <c r="F5" s="17"/>
      <c r="G5" s="42">
        <f>K5</f>
        <v>9.6</v>
      </c>
      <c r="I5" s="39" t="s">
        <v>63</v>
      </c>
      <c r="J5" s="17"/>
      <c r="K5" s="42">
        <v>9.6</v>
      </c>
    </row>
    <row r="6" spans="1:11" ht="15" hidden="1">
      <c r="A6" s="8" t="s">
        <v>24</v>
      </c>
      <c r="B6" s="17"/>
      <c r="C6" s="17">
        <v>0</v>
      </c>
      <c r="E6" s="8" t="s">
        <v>24</v>
      </c>
      <c r="F6" s="17"/>
      <c r="G6" s="17">
        <v>0</v>
      </c>
      <c r="I6" s="39" t="s">
        <v>24</v>
      </c>
      <c r="J6" s="17"/>
      <c r="K6" s="17">
        <v>0</v>
      </c>
    </row>
    <row r="7" spans="1:11" ht="45">
      <c r="A7" s="126" t="s">
        <v>222</v>
      </c>
      <c r="B7" s="17">
        <f>J7</f>
        <v>2.0000000000000004</v>
      </c>
      <c r="C7" s="42">
        <f>K7</f>
        <v>9.100000000000001</v>
      </c>
      <c r="E7" s="126" t="s">
        <v>222</v>
      </c>
      <c r="F7" s="17">
        <v>2</v>
      </c>
      <c r="G7" s="42">
        <f>K7</f>
        <v>9.100000000000001</v>
      </c>
      <c r="I7" s="126" t="s">
        <v>222</v>
      </c>
      <c r="J7" s="17">
        <v>2.0000000000000004</v>
      </c>
      <c r="K7" s="42">
        <f>3.4+'Gear Checklist'!C86+'Gear Checklist'!C20+'Gear Checklist'!C83</f>
        <v>9.100000000000001</v>
      </c>
    </row>
    <row r="8" spans="1:11" ht="17.25">
      <c r="A8" s="8" t="s">
        <v>55</v>
      </c>
      <c r="B8" s="17">
        <v>2</v>
      </c>
      <c r="C8" s="17">
        <v>12</v>
      </c>
      <c r="E8" s="8" t="s">
        <v>54</v>
      </c>
      <c r="F8" s="17">
        <f>J8</f>
        <v>1.9999499999999997</v>
      </c>
      <c r="G8" s="42">
        <f>K8</f>
        <v>1.1008</v>
      </c>
      <c r="I8" s="39" t="s">
        <v>54</v>
      </c>
      <c r="J8" s="17">
        <v>1.9999499999999997</v>
      </c>
      <c r="K8" s="42">
        <v>1.1008</v>
      </c>
    </row>
    <row r="9" spans="1:11" ht="15">
      <c r="A9" s="8" t="s">
        <v>22</v>
      </c>
      <c r="B9" s="17">
        <v>0</v>
      </c>
      <c r="C9" s="17">
        <v>7</v>
      </c>
      <c r="E9" s="8" t="s">
        <v>22</v>
      </c>
      <c r="F9" s="17">
        <v>0</v>
      </c>
      <c r="G9" s="17">
        <v>7</v>
      </c>
      <c r="I9" s="39" t="s">
        <v>22</v>
      </c>
      <c r="J9" s="17">
        <v>0</v>
      </c>
      <c r="K9" s="42">
        <v>7.485555555555557</v>
      </c>
    </row>
    <row r="10" spans="1:11" ht="15">
      <c r="A10" s="8" t="s">
        <v>48</v>
      </c>
      <c r="B10" s="17">
        <v>2</v>
      </c>
      <c r="C10" s="17">
        <v>10</v>
      </c>
      <c r="E10" s="8" t="s">
        <v>48</v>
      </c>
      <c r="F10" s="17">
        <v>2</v>
      </c>
      <c r="G10" s="17">
        <v>10</v>
      </c>
      <c r="I10" s="39" t="s">
        <v>48</v>
      </c>
      <c r="J10" s="17">
        <v>2</v>
      </c>
      <c r="K10" s="17">
        <v>10</v>
      </c>
    </row>
    <row r="11" spans="1:11" ht="15">
      <c r="A11" s="8" t="s">
        <v>49</v>
      </c>
      <c r="B11" s="17"/>
      <c r="C11" s="17">
        <v>3</v>
      </c>
      <c r="E11" s="8" t="s">
        <v>49</v>
      </c>
      <c r="F11" s="17"/>
      <c r="G11" s="17">
        <v>3</v>
      </c>
      <c r="I11" s="39" t="s">
        <v>49</v>
      </c>
      <c r="J11" s="17"/>
      <c r="K11" s="17">
        <v>3</v>
      </c>
    </row>
    <row r="12" spans="1:11" ht="15">
      <c r="A12" s="8" t="s">
        <v>32</v>
      </c>
      <c r="B12" s="17">
        <f>J12</f>
        <v>0.9999499999999999</v>
      </c>
      <c r="C12" s="42">
        <f>K12</f>
        <v>2.9008</v>
      </c>
      <c r="E12" s="8" t="s">
        <v>32</v>
      </c>
      <c r="F12" s="17">
        <f>J12</f>
        <v>0.9999499999999999</v>
      </c>
      <c r="G12" s="42">
        <f>K12</f>
        <v>2.9008</v>
      </c>
      <c r="I12" s="39" t="s">
        <v>219</v>
      </c>
      <c r="J12" s="17">
        <v>0.9999499999999999</v>
      </c>
      <c r="K12" s="42">
        <v>2.9008</v>
      </c>
    </row>
    <row r="13" spans="1:11" ht="15">
      <c r="A13" s="9" t="s">
        <v>69</v>
      </c>
      <c r="B13" s="17"/>
      <c r="C13" s="42">
        <v>9</v>
      </c>
      <c r="E13" s="9" t="s">
        <v>70</v>
      </c>
      <c r="F13" s="17"/>
      <c r="G13" s="17">
        <v>12</v>
      </c>
      <c r="I13" s="126" t="s">
        <v>70</v>
      </c>
      <c r="J13" s="17"/>
      <c r="K13" s="42">
        <v>12.2</v>
      </c>
    </row>
    <row r="14" spans="1:11" ht="15">
      <c r="A14" s="8" t="s">
        <v>33</v>
      </c>
      <c r="B14" s="17"/>
      <c r="C14" s="17">
        <v>4</v>
      </c>
      <c r="E14" s="8" t="s">
        <v>33</v>
      </c>
      <c r="F14" s="17"/>
      <c r="G14" s="17">
        <v>4</v>
      </c>
      <c r="I14" s="39" t="s">
        <v>33</v>
      </c>
      <c r="J14" s="17"/>
      <c r="K14" s="17">
        <v>4</v>
      </c>
    </row>
    <row r="15" spans="1:11" ht="15">
      <c r="A15" s="39" t="s">
        <v>64</v>
      </c>
      <c r="B15" s="17"/>
      <c r="C15" s="42">
        <f>K15</f>
        <v>11.2</v>
      </c>
      <c r="E15" s="39" t="s">
        <v>64</v>
      </c>
      <c r="F15" s="17"/>
      <c r="G15" s="42">
        <f>K15</f>
        <v>11.2</v>
      </c>
      <c r="I15" s="39" t="s">
        <v>64</v>
      </c>
      <c r="J15" s="17"/>
      <c r="K15" s="42">
        <v>11.2</v>
      </c>
    </row>
    <row r="16" spans="1:11" ht="15">
      <c r="A16" s="8" t="s">
        <v>68</v>
      </c>
      <c r="B16" s="17"/>
      <c r="C16" s="42">
        <f>K16</f>
        <v>8.4</v>
      </c>
      <c r="E16" s="8" t="s">
        <v>53</v>
      </c>
      <c r="F16" s="17"/>
      <c r="G16" s="17">
        <v>6</v>
      </c>
      <c r="I16" s="39" t="s">
        <v>68</v>
      </c>
      <c r="J16" s="17"/>
      <c r="K16" s="42">
        <v>8.4</v>
      </c>
    </row>
    <row r="17" spans="1:11" ht="15">
      <c r="A17" s="8" t="s">
        <v>67</v>
      </c>
      <c r="B17" s="17"/>
      <c r="C17" s="42">
        <f>K17</f>
        <v>11.8</v>
      </c>
      <c r="E17" s="8" t="s">
        <v>67</v>
      </c>
      <c r="F17" s="17"/>
      <c r="G17" s="42">
        <f>K17</f>
        <v>11.8</v>
      </c>
      <c r="I17" s="39" t="s">
        <v>67</v>
      </c>
      <c r="J17" s="17"/>
      <c r="K17" s="42">
        <v>11.8</v>
      </c>
    </row>
    <row r="18" spans="1:11" ht="15.75" customHeight="1">
      <c r="A18" s="8" t="s">
        <v>46</v>
      </c>
      <c r="B18" s="17"/>
      <c r="C18" s="42">
        <v>4.25</v>
      </c>
      <c r="E18" s="8" t="s">
        <v>46</v>
      </c>
      <c r="F18" s="17"/>
      <c r="G18" s="42">
        <v>4.25</v>
      </c>
      <c r="I18" s="39" t="s">
        <v>221</v>
      </c>
      <c r="J18" s="17"/>
      <c r="K18" s="42">
        <v>4.25</v>
      </c>
    </row>
    <row r="19" spans="1:11" ht="45">
      <c r="A19" s="9" t="s">
        <v>72</v>
      </c>
      <c r="B19" s="17">
        <f>J19</f>
        <v>1.000025</v>
      </c>
      <c r="C19" s="42">
        <f>K19</f>
        <v>13.6496</v>
      </c>
      <c r="E19" s="9" t="s">
        <v>59</v>
      </c>
      <c r="F19" s="17">
        <f>H19/16-0.5906</f>
        <v>1.000025</v>
      </c>
      <c r="G19" s="42">
        <f>0.5906*16</f>
        <v>9.4496</v>
      </c>
      <c r="H19">
        <f>SUM('Gear Checklist'!C43/2,'Gear Checklist'!C44,'Gear Checklist'!C45/2,'Gear Checklist'!C46:C47,'Gear Checklist'!C56*2,'Gear Checklist'!C60,'Gear Checklist'!C34)</f>
        <v>25.45</v>
      </c>
      <c r="I19" s="126" t="s">
        <v>71</v>
      </c>
      <c r="J19" s="17">
        <v>1.000025</v>
      </c>
      <c r="K19" s="42">
        <v>13.6496</v>
      </c>
    </row>
    <row r="20" spans="1:11" ht="15">
      <c r="A20" s="8" t="s">
        <v>47</v>
      </c>
      <c r="B20" s="17"/>
      <c r="C20" s="17">
        <v>11</v>
      </c>
      <c r="E20" s="8" t="s">
        <v>47</v>
      </c>
      <c r="F20" s="17"/>
      <c r="G20" s="17">
        <v>11</v>
      </c>
      <c r="I20" s="39" t="s">
        <v>220</v>
      </c>
      <c r="J20" s="17"/>
      <c r="K20" s="42">
        <v>3.4</v>
      </c>
    </row>
    <row r="21" spans="1:11" ht="15">
      <c r="A21" s="11" t="s">
        <v>31</v>
      </c>
      <c r="B21" s="12"/>
      <c r="C21" s="12">
        <v>4</v>
      </c>
      <c r="E21" s="11" t="s">
        <v>31</v>
      </c>
      <c r="F21" s="12"/>
      <c r="G21" s="12">
        <v>4</v>
      </c>
      <c r="I21" s="127" t="s">
        <v>31</v>
      </c>
      <c r="J21" s="128"/>
      <c r="K21" s="128">
        <v>4</v>
      </c>
    </row>
    <row r="22" spans="1:11" ht="15.75" thickBot="1">
      <c r="A22" s="11" t="s">
        <v>30</v>
      </c>
      <c r="B22" s="12"/>
      <c r="C22" s="12">
        <v>10</v>
      </c>
      <c r="E22" s="11" t="s">
        <v>30</v>
      </c>
      <c r="F22" s="12"/>
      <c r="G22" s="12">
        <v>10</v>
      </c>
      <c r="I22" s="127" t="s">
        <v>30</v>
      </c>
      <c r="J22" s="128"/>
      <c r="K22" s="128">
        <v>10</v>
      </c>
    </row>
    <row r="23" spans="1:11" ht="15.75" thickBot="1">
      <c r="A23" s="5" t="s">
        <v>23</v>
      </c>
      <c r="B23" s="33">
        <f>SUM(B4:B22)</f>
        <v>9.999975</v>
      </c>
      <c r="C23" s="33">
        <f>SUM(C4:C22)</f>
        <v>154.90040000000002</v>
      </c>
      <c r="E23" s="5" t="s">
        <v>23</v>
      </c>
      <c r="F23" s="33">
        <f>SUM(F4:F22)</f>
        <v>9.008675</v>
      </c>
      <c r="G23" s="33">
        <f>SUM(G4:G22)</f>
        <v>137.7612</v>
      </c>
      <c r="I23" s="123" t="s">
        <v>23</v>
      </c>
      <c r="J23" s="129">
        <f>SUM(J4:J22)</f>
        <v>9.999925000000001</v>
      </c>
      <c r="K23" s="129">
        <f>SUM(K4:K22)</f>
        <v>140.08675555555556</v>
      </c>
    </row>
    <row r="24" spans="1:11" ht="15.75" thickBot="1">
      <c r="A24" s="34" t="s">
        <v>29</v>
      </c>
      <c r="B24" s="35">
        <f>B23+(C23/16)-0.681</f>
        <v>19.000249999999998</v>
      </c>
      <c r="C24" s="36">
        <f>0.681*16</f>
        <v>10.896</v>
      </c>
      <c r="E24" s="34" t="s">
        <v>29</v>
      </c>
      <c r="F24" s="35">
        <f>F23+(G23/16)-0.647</f>
        <v>16.97175</v>
      </c>
      <c r="G24" s="36">
        <f>0.647*16</f>
        <v>10.352</v>
      </c>
      <c r="I24" s="130" t="s">
        <v>29</v>
      </c>
      <c r="J24" s="131">
        <f>J23+(K23/16)-0.349</f>
        <v>18.406347222222223</v>
      </c>
      <c r="K24" s="132">
        <f>0.349*16</f>
        <v>5.584</v>
      </c>
    </row>
    <row r="25" spans="1:11" ht="15">
      <c r="A25" s="14" t="s">
        <v>52</v>
      </c>
      <c r="B25" s="15">
        <f>1.75*5-0.75</f>
        <v>8</v>
      </c>
      <c r="C25" s="15">
        <f>0.75*16</f>
        <v>12</v>
      </c>
      <c r="E25" s="14" t="s">
        <v>52</v>
      </c>
      <c r="F25" s="15">
        <f>1.75*5-0.75</f>
        <v>8</v>
      </c>
      <c r="G25" s="15">
        <f>0.75*16</f>
        <v>12</v>
      </c>
      <c r="I25" s="133" t="s">
        <v>57</v>
      </c>
      <c r="J25" s="134">
        <f>1.75*6-0.5</f>
        <v>10</v>
      </c>
      <c r="K25" s="135">
        <f>0.5*16</f>
        <v>8</v>
      </c>
    </row>
    <row r="26" spans="1:11" ht="15">
      <c r="A26" s="8" t="s">
        <v>65</v>
      </c>
      <c r="B26" s="3">
        <v>2</v>
      </c>
      <c r="C26" s="3">
        <v>12</v>
      </c>
      <c r="E26" s="8" t="s">
        <v>65</v>
      </c>
      <c r="F26" s="3">
        <v>2</v>
      </c>
      <c r="G26" s="3">
        <v>12</v>
      </c>
      <c r="I26" s="39" t="s">
        <v>58</v>
      </c>
      <c r="J26" s="17"/>
      <c r="K26" s="42">
        <v>7.3</v>
      </c>
    </row>
    <row r="27" spans="1:11" s="1" customFormat="1" ht="15.75" thickBot="1">
      <c r="A27" s="11" t="s">
        <v>74</v>
      </c>
      <c r="B27" s="12">
        <v>2</v>
      </c>
      <c r="C27" s="13">
        <f>0.2*16</f>
        <v>3.2</v>
      </c>
      <c r="D27"/>
      <c r="E27" s="11" t="s">
        <v>73</v>
      </c>
      <c r="F27" s="12">
        <v>2</v>
      </c>
      <c r="G27" s="13">
        <f>0.2*16</f>
        <v>3.2</v>
      </c>
      <c r="I27" s="127" t="s">
        <v>73</v>
      </c>
      <c r="J27" s="128">
        <v>2</v>
      </c>
      <c r="K27" s="136">
        <f>0.2*16</f>
        <v>3.2</v>
      </c>
    </row>
    <row r="28" spans="1:11" ht="15.75" thickBot="1">
      <c r="A28" s="30" t="s">
        <v>26</v>
      </c>
      <c r="B28" s="31">
        <f>SUM(B24:B27)+SUM(C25:C27)/16-0.697</f>
        <v>32.003249999999994</v>
      </c>
      <c r="C28" s="32">
        <f>0.697*16</f>
        <v>11.152</v>
      </c>
      <c r="D28" s="1"/>
      <c r="E28" s="30" t="s">
        <v>26</v>
      </c>
      <c r="F28" s="31">
        <f>SUM(F24:F27)+SUM(G25:G27)/16-0.7</f>
        <v>29.97175</v>
      </c>
      <c r="G28" s="32">
        <f>0.7*16</f>
        <v>11.2</v>
      </c>
      <c r="I28" s="30" t="s">
        <v>26</v>
      </c>
      <c r="J28" s="31">
        <f>SUM(J24:J27)+SUM(K25:K27)/16-0.1566</f>
        <v>31.405997222222222</v>
      </c>
      <c r="K28" s="32">
        <f>0.1566*16</f>
        <v>2.5056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8.7109375" style="0" customWidth="1"/>
    <col min="2" max="3" width="12.57421875" style="0" customWidth="1"/>
  </cols>
  <sheetData>
    <row r="1" spans="1:3" ht="18.75">
      <c r="A1" s="2" t="s">
        <v>66</v>
      </c>
      <c r="B1" s="19"/>
      <c r="C1" s="19"/>
    </row>
    <row r="2" spans="2:3" ht="15.75" thickBot="1">
      <c r="B2" s="19"/>
      <c r="C2" s="19"/>
    </row>
    <row r="3" spans="1:5" s="1" customFormat="1" ht="30.75" thickBot="1">
      <c r="A3" s="10" t="s">
        <v>27</v>
      </c>
      <c r="B3" s="20" t="s">
        <v>206</v>
      </c>
      <c r="C3" s="21" t="s">
        <v>144</v>
      </c>
      <c r="D3" s="57" t="s">
        <v>184</v>
      </c>
      <c r="E3" s="57" t="s">
        <v>119</v>
      </c>
    </row>
    <row r="4" spans="1:5" ht="15">
      <c r="A4" s="25" t="s">
        <v>189</v>
      </c>
      <c r="B4" s="22">
        <v>0</v>
      </c>
      <c r="C4" s="54">
        <v>2</v>
      </c>
      <c r="D4" s="110">
        <v>0.1</v>
      </c>
      <c r="E4" s="25">
        <f>D4*(B4+C4)</f>
        <v>0.2</v>
      </c>
    </row>
    <row r="5" spans="1:5" ht="15">
      <c r="A5" s="103" t="s">
        <v>187</v>
      </c>
      <c r="B5" s="104">
        <v>0</v>
      </c>
      <c r="C5" s="105">
        <v>2</v>
      </c>
      <c r="D5" s="111">
        <v>0.05</v>
      </c>
      <c r="E5" s="26">
        <f aca="true" t="shared" si="0" ref="E5:E32">D5*(B5+C5)</f>
        <v>0.1</v>
      </c>
    </row>
    <row r="6" spans="1:5" ht="15">
      <c r="A6" s="103" t="s">
        <v>188</v>
      </c>
      <c r="B6" s="104">
        <v>0</v>
      </c>
      <c r="C6" s="105">
        <v>2</v>
      </c>
      <c r="D6" s="111">
        <v>0.02</v>
      </c>
      <c r="E6" s="26">
        <f t="shared" si="0"/>
        <v>0.04</v>
      </c>
    </row>
    <row r="7" spans="1:5" ht="15">
      <c r="A7" s="26" t="s">
        <v>190</v>
      </c>
      <c r="B7" s="23">
        <v>0</v>
      </c>
      <c r="C7" s="55">
        <v>2</v>
      </c>
      <c r="D7" s="112">
        <v>0.18</v>
      </c>
      <c r="E7" s="26">
        <f t="shared" si="0"/>
        <v>0.36</v>
      </c>
    </row>
    <row r="8" spans="1:5" ht="15" customHeight="1">
      <c r="A8" s="27" t="s">
        <v>183</v>
      </c>
      <c r="B8" s="23">
        <v>0</v>
      </c>
      <c r="C8" s="55">
        <v>10</v>
      </c>
      <c r="D8" s="112">
        <v>0.3</v>
      </c>
      <c r="E8" s="26">
        <f t="shared" si="0"/>
        <v>3</v>
      </c>
    </row>
    <row r="9" spans="1:5" ht="15" customHeight="1">
      <c r="A9" s="27" t="s">
        <v>179</v>
      </c>
      <c r="B9" s="23">
        <v>0</v>
      </c>
      <c r="C9" s="55">
        <v>4</v>
      </c>
      <c r="D9" s="112">
        <v>0.1</v>
      </c>
      <c r="E9" s="26">
        <f t="shared" si="0"/>
        <v>0.4</v>
      </c>
    </row>
    <row r="10" spans="1:5" ht="15" customHeight="1">
      <c r="A10" s="27" t="s">
        <v>180</v>
      </c>
      <c r="B10" s="23">
        <v>0</v>
      </c>
      <c r="C10" s="55">
        <v>4</v>
      </c>
      <c r="D10" s="112">
        <v>0.1</v>
      </c>
      <c r="E10" s="26">
        <f t="shared" si="0"/>
        <v>0.4</v>
      </c>
    </row>
    <row r="11" spans="1:5" ht="15" customHeight="1">
      <c r="A11" s="27" t="s">
        <v>181</v>
      </c>
      <c r="B11" s="23">
        <v>0</v>
      </c>
      <c r="C11" s="55">
        <v>6</v>
      </c>
      <c r="D11" s="112">
        <v>0.25</v>
      </c>
      <c r="E11" s="26">
        <f t="shared" si="0"/>
        <v>1.5</v>
      </c>
    </row>
    <row r="12" spans="1:5" ht="15">
      <c r="A12" s="28" t="s">
        <v>39</v>
      </c>
      <c r="B12" s="23">
        <v>0</v>
      </c>
      <c r="C12" s="55">
        <v>4</v>
      </c>
      <c r="D12" s="112">
        <v>0.1</v>
      </c>
      <c r="E12" s="26">
        <f t="shared" si="0"/>
        <v>0.4</v>
      </c>
    </row>
    <row r="13" spans="1:5" ht="15">
      <c r="A13" s="28" t="s">
        <v>37</v>
      </c>
      <c r="B13" s="23">
        <v>0</v>
      </c>
      <c r="C13" s="55">
        <v>0</v>
      </c>
      <c r="D13" s="112"/>
      <c r="E13" s="26">
        <f t="shared" si="0"/>
        <v>0</v>
      </c>
    </row>
    <row r="14" spans="1:5" ht="15">
      <c r="A14" s="26" t="s">
        <v>201</v>
      </c>
      <c r="B14" s="23">
        <v>1</v>
      </c>
      <c r="C14" s="55">
        <v>0</v>
      </c>
      <c r="D14" s="112">
        <v>1.3</v>
      </c>
      <c r="E14" s="26">
        <f t="shared" si="0"/>
        <v>1.3</v>
      </c>
    </row>
    <row r="15" spans="1:5" ht="15" customHeight="1">
      <c r="A15" s="27" t="s">
        <v>182</v>
      </c>
      <c r="B15" s="23">
        <v>6</v>
      </c>
      <c r="C15" s="55">
        <v>0</v>
      </c>
      <c r="D15" s="112">
        <v>0.2</v>
      </c>
      <c r="E15" s="26">
        <f>D15*(B15+C15)</f>
        <v>1.2000000000000002</v>
      </c>
    </row>
    <row r="16" spans="1:5" ht="15">
      <c r="A16" s="26" t="s">
        <v>36</v>
      </c>
      <c r="B16" s="23">
        <v>1</v>
      </c>
      <c r="C16" s="55">
        <v>0</v>
      </c>
      <c r="D16" s="112">
        <v>1.5</v>
      </c>
      <c r="E16" s="26">
        <f>D16*(B16+C16)</f>
        <v>1.5</v>
      </c>
    </row>
    <row r="17" spans="1:5" ht="15" customHeight="1">
      <c r="A17" s="27" t="s">
        <v>200</v>
      </c>
      <c r="B17" s="23">
        <v>1</v>
      </c>
      <c r="C17" s="55">
        <v>0</v>
      </c>
      <c r="D17" s="112">
        <v>0.05</v>
      </c>
      <c r="E17" s="26">
        <f>D17*(B17+C17)</f>
        <v>0.05</v>
      </c>
    </row>
    <row r="18" spans="1:5" ht="15" customHeight="1">
      <c r="A18" s="27" t="s">
        <v>38</v>
      </c>
      <c r="B18" s="23">
        <v>1</v>
      </c>
      <c r="C18" s="55">
        <v>0</v>
      </c>
      <c r="D18" s="112">
        <v>1.8</v>
      </c>
      <c r="E18" s="26">
        <f>D18*(B18+C18)</f>
        <v>1.8</v>
      </c>
    </row>
    <row r="19" spans="1:5" ht="15">
      <c r="A19" s="26" t="s">
        <v>28</v>
      </c>
      <c r="B19" s="23">
        <v>1</v>
      </c>
      <c r="C19" s="55">
        <v>0</v>
      </c>
      <c r="D19" s="112">
        <v>0.7</v>
      </c>
      <c r="E19" s="26">
        <f>D19*(B19+C19)</f>
        <v>0.7</v>
      </c>
    </row>
    <row r="20" spans="1:5" ht="15">
      <c r="A20" s="26" t="s">
        <v>193</v>
      </c>
      <c r="B20" s="23">
        <v>2</v>
      </c>
      <c r="C20" s="55">
        <v>0</v>
      </c>
      <c r="D20" s="112">
        <v>0.04</v>
      </c>
      <c r="E20" s="26">
        <f t="shared" si="0"/>
        <v>0.08</v>
      </c>
    </row>
    <row r="21" spans="1:5" ht="15">
      <c r="A21" s="26" t="s">
        <v>192</v>
      </c>
      <c r="B21" s="23">
        <v>2</v>
      </c>
      <c r="C21" s="55">
        <v>0</v>
      </c>
      <c r="D21" s="112">
        <v>0.1</v>
      </c>
      <c r="E21" s="26">
        <f t="shared" si="0"/>
        <v>0.2</v>
      </c>
    </row>
    <row r="22" spans="1:5" ht="15">
      <c r="A22" s="26" t="s">
        <v>194</v>
      </c>
      <c r="B22" s="23">
        <v>2</v>
      </c>
      <c r="C22" s="55">
        <v>0</v>
      </c>
      <c r="D22" s="112">
        <v>0.12</v>
      </c>
      <c r="E22" s="26">
        <f t="shared" si="0"/>
        <v>0.24</v>
      </c>
    </row>
    <row r="23" spans="1:5" ht="15">
      <c r="A23" s="26" t="s">
        <v>203</v>
      </c>
      <c r="B23" s="23">
        <v>2</v>
      </c>
      <c r="C23" s="55">
        <v>0</v>
      </c>
      <c r="D23" s="112">
        <v>0.4</v>
      </c>
      <c r="E23" s="26">
        <f t="shared" si="0"/>
        <v>0.8</v>
      </c>
    </row>
    <row r="24" spans="1:5" ht="15">
      <c r="A24" s="26" t="s">
        <v>195</v>
      </c>
      <c r="B24" s="23">
        <v>1</v>
      </c>
      <c r="C24" s="55">
        <v>0</v>
      </c>
      <c r="D24" s="112">
        <v>0.4</v>
      </c>
      <c r="E24" s="26">
        <f t="shared" si="0"/>
        <v>0.4</v>
      </c>
    </row>
    <row r="25" spans="1:5" ht="15">
      <c r="A25" s="26" t="s">
        <v>196</v>
      </c>
      <c r="B25" s="23">
        <v>1</v>
      </c>
      <c r="C25" s="55">
        <v>0</v>
      </c>
      <c r="D25" s="112">
        <v>0.4</v>
      </c>
      <c r="E25" s="26">
        <f t="shared" si="0"/>
        <v>0.4</v>
      </c>
    </row>
    <row r="26" spans="1:5" ht="15">
      <c r="A26" s="26" t="s">
        <v>191</v>
      </c>
      <c r="B26" s="23">
        <v>0</v>
      </c>
      <c r="C26" s="55">
        <v>0</v>
      </c>
      <c r="D26" s="112">
        <v>1.6</v>
      </c>
      <c r="E26" s="26">
        <f t="shared" si="0"/>
        <v>0</v>
      </c>
    </row>
    <row r="27" spans="1:5" ht="15">
      <c r="A27" s="26" t="s">
        <v>145</v>
      </c>
      <c r="B27" s="23">
        <v>1</v>
      </c>
      <c r="C27" s="55">
        <v>0</v>
      </c>
      <c r="D27" s="112">
        <v>0.4</v>
      </c>
      <c r="E27" s="26">
        <f t="shared" si="0"/>
        <v>0.4</v>
      </c>
    </row>
    <row r="28" spans="1:5" ht="15">
      <c r="A28" s="26" t="s">
        <v>146</v>
      </c>
      <c r="B28" s="23">
        <v>1</v>
      </c>
      <c r="C28" s="55">
        <v>0</v>
      </c>
      <c r="D28" s="112">
        <v>0.1</v>
      </c>
      <c r="E28" s="26">
        <f t="shared" si="0"/>
        <v>0.1</v>
      </c>
    </row>
    <row r="29" spans="1:5" ht="15">
      <c r="A29" s="28" t="s">
        <v>202</v>
      </c>
      <c r="B29" s="23">
        <v>1</v>
      </c>
      <c r="C29" s="55">
        <v>0</v>
      </c>
      <c r="D29" s="112">
        <v>0.6</v>
      </c>
      <c r="E29" s="26">
        <f t="shared" si="0"/>
        <v>0.6</v>
      </c>
    </row>
    <row r="30" spans="1:5" ht="15">
      <c r="A30" s="106" t="s">
        <v>197</v>
      </c>
      <c r="B30" s="107">
        <v>0</v>
      </c>
      <c r="C30" s="108">
        <v>0</v>
      </c>
      <c r="D30" s="113">
        <v>0.6</v>
      </c>
      <c r="E30" s="26">
        <f t="shared" si="0"/>
        <v>0</v>
      </c>
    </row>
    <row r="31" spans="1:5" ht="15">
      <c r="A31" s="106" t="s">
        <v>198</v>
      </c>
      <c r="B31" s="107">
        <v>0</v>
      </c>
      <c r="C31" s="108">
        <v>0</v>
      </c>
      <c r="D31" s="113">
        <v>1.1</v>
      </c>
      <c r="E31" s="26">
        <f t="shared" si="0"/>
        <v>0</v>
      </c>
    </row>
    <row r="32" spans="1:5" ht="15.75" thickBot="1">
      <c r="A32" s="29" t="s">
        <v>199</v>
      </c>
      <c r="B32" s="24">
        <v>0</v>
      </c>
      <c r="C32" s="56">
        <v>0</v>
      </c>
      <c r="D32" s="114">
        <v>4.6</v>
      </c>
      <c r="E32" s="58">
        <f t="shared" si="0"/>
        <v>0</v>
      </c>
    </row>
    <row r="33" spans="1:6" ht="15">
      <c r="A33" s="59"/>
      <c r="B33" s="4"/>
      <c r="C33" s="4" t="s">
        <v>185</v>
      </c>
      <c r="D33" s="115"/>
      <c r="E33" s="116">
        <f>SUM(E4:E32)</f>
        <v>16.170000000000005</v>
      </c>
      <c r="F33" s="4"/>
    </row>
    <row r="35" spans="3:5" ht="15">
      <c r="C35" t="s">
        <v>186</v>
      </c>
      <c r="D35" s="109" t="s">
        <v>204</v>
      </c>
      <c r="E35" s="109">
        <f>SUM(E4:E13)*0.0625</f>
        <v>0.4000000000000001</v>
      </c>
    </row>
    <row r="36" spans="4:5" ht="15">
      <c r="D36" t="s">
        <v>205</v>
      </c>
      <c r="E36" s="109">
        <f>SUM(E14:E32)*0.0625</f>
        <v>0.610625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2">
      <selection activeCell="L9" sqref="L9"/>
    </sheetView>
  </sheetViews>
  <sheetFormatPr defaultColWidth="9.140625" defaultRowHeight="15"/>
  <cols>
    <col min="1" max="1" width="48.28125" style="0" customWidth="1"/>
    <col min="2" max="5" width="18.421875" style="0" customWidth="1"/>
    <col min="6" max="6" width="10.28125" style="0" customWidth="1"/>
    <col min="7" max="8" width="18.421875" style="0" hidden="1" customWidth="1"/>
    <col min="9" max="9" width="0" style="0" hidden="1" customWidth="1"/>
  </cols>
  <sheetData>
    <row r="1" spans="1:5" ht="19.5" thickBot="1">
      <c r="A1" s="59"/>
      <c r="B1" s="145" t="s">
        <v>230</v>
      </c>
      <c r="C1" s="145"/>
      <c r="D1" s="145"/>
      <c r="E1" s="145"/>
    </row>
    <row r="2" spans="1:5" ht="19.5" thickBot="1">
      <c r="A2" s="60"/>
      <c r="B2" s="61" t="s">
        <v>147</v>
      </c>
      <c r="C2" s="62" t="s">
        <v>148</v>
      </c>
      <c r="D2" s="62" t="s">
        <v>149</v>
      </c>
      <c r="E2" s="63" t="s">
        <v>150</v>
      </c>
    </row>
    <row r="3" spans="1:10" ht="19.5" thickBot="1">
      <c r="A3" s="64"/>
      <c r="B3" s="139">
        <v>2</v>
      </c>
      <c r="C3" s="65">
        <v>3</v>
      </c>
      <c r="D3" s="65">
        <v>3</v>
      </c>
      <c r="E3" s="66">
        <v>2</v>
      </c>
      <c r="F3" s="138">
        <f>(2+3+3+2)/4</f>
        <v>2.5</v>
      </c>
      <c r="J3" t="s">
        <v>228</v>
      </c>
    </row>
    <row r="4" spans="1:2" ht="15">
      <c r="A4" s="38"/>
      <c r="B4" s="38"/>
    </row>
    <row r="5" spans="1:3" ht="28.5" customHeight="1" thickBot="1">
      <c r="A5" s="67" t="s">
        <v>231</v>
      </c>
      <c r="B5" s="68"/>
      <c r="C5" s="69"/>
    </row>
    <row r="6" spans="1:9" ht="60" customHeight="1" thickBot="1">
      <c r="A6" s="70" t="s">
        <v>151</v>
      </c>
      <c r="B6" s="71" t="s">
        <v>152</v>
      </c>
      <c r="C6" s="72" t="s">
        <v>153</v>
      </c>
      <c r="D6" s="73" t="s">
        <v>154</v>
      </c>
      <c r="E6" s="73" t="s">
        <v>155</v>
      </c>
      <c r="F6" s="73" t="s">
        <v>156</v>
      </c>
      <c r="G6" s="73" t="s">
        <v>157</v>
      </c>
      <c r="H6" s="73" t="s">
        <v>158</v>
      </c>
      <c r="I6" s="73" t="s">
        <v>156</v>
      </c>
    </row>
    <row r="7" spans="1:9" ht="21.75" customHeight="1">
      <c r="A7" s="74" t="s">
        <v>159</v>
      </c>
      <c r="B7" s="75">
        <v>24</v>
      </c>
      <c r="C7" s="76">
        <v>88</v>
      </c>
      <c r="D7" s="77">
        <v>2</v>
      </c>
      <c r="E7" s="78">
        <f>B7*D7</f>
        <v>48</v>
      </c>
      <c r="F7" s="79"/>
      <c r="G7" s="78">
        <v>0</v>
      </c>
      <c r="H7" s="78">
        <f>G7*B7</f>
        <v>0</v>
      </c>
      <c r="I7" s="79"/>
    </row>
    <row r="8" spans="1:9" ht="21.75" customHeight="1">
      <c r="A8" s="80" t="s">
        <v>160</v>
      </c>
      <c r="B8" s="81">
        <v>1</v>
      </c>
      <c r="C8" s="82">
        <v>0</v>
      </c>
      <c r="D8" s="83">
        <v>4</v>
      </c>
      <c r="E8" s="84">
        <f aca="true" t="shared" si="0" ref="E8:E27">B8*D8</f>
        <v>4</v>
      </c>
      <c r="F8" s="85"/>
      <c r="G8" s="86">
        <v>0</v>
      </c>
      <c r="H8" s="84">
        <f aca="true" t="shared" si="1" ref="H8:H27">G8*B8</f>
        <v>0</v>
      </c>
      <c r="I8" s="85"/>
    </row>
    <row r="9" spans="1:9" ht="21.75" customHeight="1">
      <c r="A9" s="80" t="s">
        <v>161</v>
      </c>
      <c r="B9" s="81">
        <v>37</v>
      </c>
      <c r="C9" s="82">
        <v>180</v>
      </c>
      <c r="D9" s="83">
        <v>4</v>
      </c>
      <c r="E9" s="84">
        <f t="shared" si="0"/>
        <v>148</v>
      </c>
      <c r="F9" s="85"/>
      <c r="G9" s="86">
        <v>0</v>
      </c>
      <c r="H9" s="84">
        <f t="shared" si="1"/>
        <v>0</v>
      </c>
      <c r="I9" s="85"/>
    </row>
    <row r="10" spans="1:9" ht="21.75" customHeight="1">
      <c r="A10" s="87" t="s">
        <v>162</v>
      </c>
      <c r="B10" s="81">
        <v>93</v>
      </c>
      <c r="C10" s="82">
        <v>433</v>
      </c>
      <c r="D10" s="83">
        <v>2</v>
      </c>
      <c r="E10" s="84">
        <f t="shared" si="0"/>
        <v>186</v>
      </c>
      <c r="F10" s="85"/>
      <c r="G10" s="86">
        <v>0</v>
      </c>
      <c r="H10" s="84">
        <f t="shared" si="1"/>
        <v>0</v>
      </c>
      <c r="I10" s="85"/>
    </row>
    <row r="11" spans="1:9" ht="42" customHeight="1">
      <c r="A11" s="87" t="s">
        <v>163</v>
      </c>
      <c r="B11" s="81">
        <f>'[1]Planning Table'!$B$61</f>
        <v>145</v>
      </c>
      <c r="C11" s="82">
        <f>'[1]Planning Table'!$E$61</f>
        <v>595.9</v>
      </c>
      <c r="D11" s="83">
        <v>0</v>
      </c>
      <c r="E11" s="84">
        <f t="shared" si="0"/>
        <v>0</v>
      </c>
      <c r="F11" s="85"/>
      <c r="G11" s="86"/>
      <c r="H11" s="84"/>
      <c r="I11" s="85"/>
    </row>
    <row r="12" spans="1:9" ht="21.75" customHeight="1">
      <c r="A12" s="87" t="s">
        <v>164</v>
      </c>
      <c r="B12" s="81">
        <v>30</v>
      </c>
      <c r="C12" s="82">
        <v>144</v>
      </c>
      <c r="D12" s="83">
        <v>2</v>
      </c>
      <c r="E12" s="84">
        <f t="shared" si="0"/>
        <v>60</v>
      </c>
      <c r="F12" s="85"/>
      <c r="G12" s="86">
        <v>0</v>
      </c>
      <c r="H12" s="84">
        <f t="shared" si="1"/>
        <v>0</v>
      </c>
      <c r="I12" s="85"/>
    </row>
    <row r="13" spans="1:9" ht="21.75" customHeight="1">
      <c r="A13" s="80" t="s">
        <v>165</v>
      </c>
      <c r="B13" s="81">
        <v>30.9</v>
      </c>
      <c r="C13" s="82">
        <v>201</v>
      </c>
      <c r="D13" s="83">
        <v>1</v>
      </c>
      <c r="E13" s="84">
        <f t="shared" si="0"/>
        <v>30.9</v>
      </c>
      <c r="F13" s="85"/>
      <c r="G13" s="86">
        <v>0</v>
      </c>
      <c r="H13" s="84">
        <f t="shared" si="1"/>
        <v>0</v>
      </c>
      <c r="I13" s="85"/>
    </row>
    <row r="14" spans="1:9" ht="21.75" customHeight="1">
      <c r="A14" s="80" t="s">
        <v>166</v>
      </c>
      <c r="B14" s="81">
        <f>'[1]Planning Table'!$B$48</f>
        <v>56</v>
      </c>
      <c r="C14" s="82">
        <f>'[1]Planning Table'!$E$48</f>
        <v>218</v>
      </c>
      <c r="D14" s="83">
        <v>2</v>
      </c>
      <c r="E14" s="84">
        <f t="shared" si="0"/>
        <v>112</v>
      </c>
      <c r="F14" s="85"/>
      <c r="G14" s="86">
        <v>0</v>
      </c>
      <c r="H14" s="84">
        <v>0</v>
      </c>
      <c r="I14" s="85"/>
    </row>
    <row r="15" spans="1:9" ht="21.75" customHeight="1">
      <c r="A15" s="80" t="s">
        <v>167</v>
      </c>
      <c r="B15" s="81">
        <v>59</v>
      </c>
      <c r="C15" s="82">
        <v>134</v>
      </c>
      <c r="D15" s="83">
        <v>3</v>
      </c>
      <c r="E15" s="84">
        <f t="shared" si="0"/>
        <v>177</v>
      </c>
      <c r="F15" s="85"/>
      <c r="G15" s="86">
        <v>0</v>
      </c>
      <c r="H15" s="84">
        <f t="shared" si="1"/>
        <v>0</v>
      </c>
      <c r="I15" s="85"/>
    </row>
    <row r="16" spans="1:9" ht="21.75" customHeight="1">
      <c r="A16" s="80" t="s">
        <v>168</v>
      </c>
      <c r="B16" s="81">
        <v>30</v>
      </c>
      <c r="C16" s="82">
        <v>129</v>
      </c>
      <c r="D16" s="83">
        <v>0</v>
      </c>
      <c r="E16" s="84">
        <f t="shared" si="0"/>
        <v>0</v>
      </c>
      <c r="F16" s="85"/>
      <c r="G16" s="86">
        <v>0</v>
      </c>
      <c r="H16" s="84">
        <f t="shared" si="1"/>
        <v>0</v>
      </c>
      <c r="I16" s="85"/>
    </row>
    <row r="17" spans="1:9" ht="21.75" customHeight="1">
      <c r="A17" s="87" t="s">
        <v>169</v>
      </c>
      <c r="B17" s="81">
        <v>59</v>
      </c>
      <c r="C17" s="82">
        <v>371</v>
      </c>
      <c r="D17" s="83">
        <v>1</v>
      </c>
      <c r="E17" s="84">
        <f t="shared" si="0"/>
        <v>59</v>
      </c>
      <c r="F17" s="85"/>
      <c r="G17" s="86">
        <v>0</v>
      </c>
      <c r="H17" s="84">
        <f t="shared" si="1"/>
        <v>0</v>
      </c>
      <c r="I17" s="85"/>
    </row>
    <row r="18" spans="1:9" ht="18.75">
      <c r="A18" s="80" t="s">
        <v>170</v>
      </c>
      <c r="B18" s="81">
        <v>113.2</v>
      </c>
      <c r="C18" s="82">
        <v>830</v>
      </c>
      <c r="D18" s="83">
        <v>2</v>
      </c>
      <c r="E18" s="84">
        <f t="shared" si="0"/>
        <v>226.4</v>
      </c>
      <c r="F18" s="85"/>
      <c r="G18" s="86">
        <v>0</v>
      </c>
      <c r="H18" s="84">
        <f t="shared" si="1"/>
        <v>0</v>
      </c>
      <c r="I18" s="85"/>
    </row>
    <row r="19" spans="1:9" ht="18.75" customHeight="1">
      <c r="A19" s="80" t="s">
        <v>171</v>
      </c>
      <c r="B19" s="81">
        <v>116</v>
      </c>
      <c r="C19" s="82">
        <v>666</v>
      </c>
      <c r="D19" s="83">
        <v>3</v>
      </c>
      <c r="E19" s="84">
        <f t="shared" si="0"/>
        <v>348</v>
      </c>
      <c r="F19" s="85"/>
      <c r="G19" s="86">
        <v>0</v>
      </c>
      <c r="H19" s="84">
        <f t="shared" si="1"/>
        <v>0</v>
      </c>
      <c r="I19" s="85"/>
    </row>
    <row r="20" spans="1:9" ht="18.75">
      <c r="A20" s="80" t="s">
        <v>229</v>
      </c>
      <c r="B20" s="81">
        <v>17</v>
      </c>
      <c r="C20" s="82">
        <v>68</v>
      </c>
      <c r="D20" s="83">
        <v>2</v>
      </c>
      <c r="E20" s="84">
        <f t="shared" si="0"/>
        <v>34</v>
      </c>
      <c r="F20" s="85"/>
      <c r="G20" s="86">
        <v>0</v>
      </c>
      <c r="H20" s="84">
        <f t="shared" si="1"/>
        <v>0</v>
      </c>
      <c r="I20" s="85"/>
    </row>
    <row r="21" spans="1:9" ht="18.75">
      <c r="A21" s="80" t="s">
        <v>172</v>
      </c>
      <c r="B21" s="81">
        <v>60</v>
      </c>
      <c r="C21" s="82">
        <v>260</v>
      </c>
      <c r="D21" s="83">
        <v>0</v>
      </c>
      <c r="E21" s="84">
        <f t="shared" si="0"/>
        <v>0</v>
      </c>
      <c r="F21" s="85"/>
      <c r="G21" s="86">
        <v>0</v>
      </c>
      <c r="H21" s="84">
        <f t="shared" si="1"/>
        <v>0</v>
      </c>
      <c r="I21" s="85"/>
    </row>
    <row r="22" spans="1:9" ht="18.75">
      <c r="A22" s="80" t="s">
        <v>173</v>
      </c>
      <c r="B22" s="81">
        <v>126</v>
      </c>
      <c r="C22" s="82">
        <v>380</v>
      </c>
      <c r="D22" s="83">
        <v>2</v>
      </c>
      <c r="E22" s="84">
        <f t="shared" si="0"/>
        <v>252</v>
      </c>
      <c r="F22" s="85"/>
      <c r="G22" s="86">
        <v>0</v>
      </c>
      <c r="H22" s="84">
        <f t="shared" si="1"/>
        <v>0</v>
      </c>
      <c r="I22" s="85"/>
    </row>
    <row r="23" spans="1:9" ht="18.75">
      <c r="A23" s="80" t="s">
        <v>174</v>
      </c>
      <c r="B23" s="81">
        <v>58</v>
      </c>
      <c r="C23" s="82">
        <v>165</v>
      </c>
      <c r="D23" s="83">
        <v>0</v>
      </c>
      <c r="E23" s="84">
        <f t="shared" si="0"/>
        <v>0</v>
      </c>
      <c r="F23" s="85"/>
      <c r="G23" s="86">
        <v>0</v>
      </c>
      <c r="H23" s="84">
        <f t="shared" si="1"/>
        <v>0</v>
      </c>
      <c r="I23" s="85"/>
    </row>
    <row r="24" spans="1:9" ht="21.75" customHeight="1">
      <c r="A24" s="87" t="s">
        <v>175</v>
      </c>
      <c r="B24" s="81">
        <v>30</v>
      </c>
      <c r="C24" s="82">
        <v>121</v>
      </c>
      <c r="D24" s="83">
        <v>0</v>
      </c>
      <c r="E24" s="84">
        <f t="shared" si="0"/>
        <v>0</v>
      </c>
      <c r="F24" s="85"/>
      <c r="G24" s="86">
        <v>0</v>
      </c>
      <c r="H24" s="84">
        <f t="shared" si="1"/>
        <v>0</v>
      </c>
      <c r="I24" s="85"/>
    </row>
    <row r="25" spans="1:9" ht="23.25" customHeight="1">
      <c r="A25" s="87" t="s">
        <v>176</v>
      </c>
      <c r="B25" s="81">
        <v>40</v>
      </c>
      <c r="C25" s="82">
        <v>210</v>
      </c>
      <c r="D25" s="83">
        <v>0</v>
      </c>
      <c r="E25" s="84">
        <f t="shared" si="0"/>
        <v>0</v>
      </c>
      <c r="F25" s="85"/>
      <c r="G25" s="86">
        <v>0</v>
      </c>
      <c r="H25" s="84">
        <f t="shared" si="1"/>
        <v>0</v>
      </c>
      <c r="I25" s="85"/>
    </row>
    <row r="26" spans="1:9" ht="23.25" customHeight="1">
      <c r="A26" s="87" t="s">
        <v>177</v>
      </c>
      <c r="B26" s="81">
        <v>39</v>
      </c>
      <c r="C26" s="82">
        <v>210</v>
      </c>
      <c r="D26" s="83">
        <v>2</v>
      </c>
      <c r="E26" s="84">
        <f t="shared" si="0"/>
        <v>78</v>
      </c>
      <c r="F26" s="85"/>
      <c r="G26" s="86">
        <v>0</v>
      </c>
      <c r="H26" s="84">
        <f t="shared" si="1"/>
        <v>0</v>
      </c>
      <c r="I26" s="85"/>
    </row>
    <row r="27" spans="1:9" ht="23.25" customHeight="1" thickBot="1">
      <c r="A27" s="88" t="s">
        <v>178</v>
      </c>
      <c r="B27" s="89">
        <v>1</v>
      </c>
      <c r="C27" s="90">
        <v>10</v>
      </c>
      <c r="D27" s="91">
        <v>6</v>
      </c>
      <c r="E27" s="92">
        <f t="shared" si="0"/>
        <v>6</v>
      </c>
      <c r="F27" s="93"/>
      <c r="G27" s="92">
        <v>0</v>
      </c>
      <c r="H27" s="92">
        <f t="shared" si="1"/>
        <v>0</v>
      </c>
      <c r="I27" s="93"/>
    </row>
    <row r="28" spans="1:8" ht="21">
      <c r="A28" s="94" t="s">
        <v>224</v>
      </c>
      <c r="B28" s="95"/>
      <c r="C28" s="96"/>
      <c r="D28" s="97">
        <f>SUMPRODUCT(D7:D27,$C7:$C27)/F3</f>
        <v>3397.6</v>
      </c>
      <c r="E28" s="98"/>
      <c r="G28" s="97">
        <f>SUMPRODUCT(G7:G27,$C7:$C27)/6</f>
        <v>0</v>
      </c>
      <c r="H28" s="98"/>
    </row>
    <row r="29" spans="1:9" ht="18.75">
      <c r="A29" s="99" t="s">
        <v>225</v>
      </c>
      <c r="B29" s="100"/>
      <c r="C29" s="101"/>
      <c r="D29" s="101"/>
      <c r="E29" s="102">
        <f>SUM(E7:E27)/453.6/F3</f>
        <v>1.5602292768959436</v>
      </c>
      <c r="F29" s="4"/>
      <c r="G29" s="4"/>
      <c r="H29" s="102">
        <f>SUM(H7:H27)/453.6/6</f>
        <v>0</v>
      </c>
      <c r="I29" s="4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Cheryl Talbert</cp:lastModifiedBy>
  <cp:lastPrinted>2015-08-10T03:21:46Z</cp:lastPrinted>
  <dcterms:created xsi:type="dcterms:W3CDTF">2012-06-02T12:57:03Z</dcterms:created>
  <dcterms:modified xsi:type="dcterms:W3CDTF">2016-03-20T02:22:03Z</dcterms:modified>
  <cp:category/>
  <cp:version/>
  <cp:contentType/>
  <cp:contentStatus/>
</cp:coreProperties>
</file>