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ve_000\Documents\"/>
    </mc:Choice>
  </mc:AlternateContent>
  <bookViews>
    <workbookView xWindow="0" yWindow="0" windowWidth="20490" windowHeight="8445"/>
  </bookViews>
  <sheets>
    <sheet name="3-Season Template" sheetId="1" r:id="rId1"/>
    <sheet name="3-Season Checklist" sheetId="2" r:id="rId2"/>
  </sheets>
  <calcPr calcId="152511"/>
</workbook>
</file>

<file path=xl/calcChain.xml><?xml version="1.0" encoding="utf-8"?>
<calcChain xmlns="http://schemas.openxmlformats.org/spreadsheetml/2006/main">
  <c r="D140" i="2" l="1"/>
  <c r="D139" i="2"/>
  <c r="D138" i="2"/>
  <c r="D136" i="2"/>
  <c r="D134" i="2"/>
  <c r="D133" i="2"/>
  <c r="D132" i="2"/>
  <c r="E129" i="2"/>
  <c r="D126" i="2"/>
  <c r="D125" i="2"/>
  <c r="D124" i="2"/>
  <c r="D123" i="2"/>
  <c r="D122" i="2"/>
  <c r="D121" i="2"/>
  <c r="D120" i="2"/>
  <c r="D119" i="2"/>
  <c r="D118" i="2"/>
  <c r="D116" i="2"/>
  <c r="D115" i="2"/>
  <c r="D114" i="2"/>
  <c r="D113" i="2"/>
  <c r="D112" i="2"/>
  <c r="D111" i="2"/>
  <c r="E109" i="2"/>
  <c r="D105" i="2"/>
  <c r="D104" i="2"/>
  <c r="D103" i="2"/>
  <c r="D102" i="2"/>
  <c r="D101" i="2"/>
  <c r="D100" i="2"/>
  <c r="D99" i="2"/>
  <c r="E97" i="2"/>
  <c r="D94" i="2"/>
  <c r="D93" i="2"/>
  <c r="D92" i="2"/>
  <c r="E89" i="2"/>
  <c r="D86" i="2"/>
  <c r="D85" i="2"/>
  <c r="D84" i="2"/>
  <c r="D82" i="2"/>
  <c r="D81" i="2"/>
  <c r="D80" i="2"/>
  <c r="D79" i="2"/>
  <c r="D78" i="2"/>
  <c r="D77" i="2"/>
  <c r="D76" i="2"/>
  <c r="E74" i="2"/>
  <c r="D71" i="2"/>
  <c r="D70" i="2"/>
  <c r="D69" i="2"/>
  <c r="E67" i="2"/>
  <c r="D64" i="2"/>
  <c r="D63" i="2"/>
  <c r="D61" i="2"/>
  <c r="D59" i="2"/>
  <c r="E57" i="2"/>
  <c r="D53" i="2"/>
  <c r="D52" i="2"/>
  <c r="D51" i="2"/>
  <c r="D50" i="2"/>
  <c r="D49" i="2"/>
  <c r="D48" i="2"/>
  <c r="E46" i="2"/>
  <c r="D43" i="2"/>
  <c r="D42" i="2"/>
  <c r="D41" i="2"/>
  <c r="D40" i="2"/>
  <c r="D39" i="2"/>
  <c r="D38" i="2"/>
  <c r="E36" i="2"/>
  <c r="D33" i="2"/>
  <c r="D32" i="2"/>
  <c r="D31" i="2"/>
  <c r="D30" i="2"/>
  <c r="D29" i="2"/>
  <c r="D28" i="2"/>
  <c r="D27" i="2"/>
  <c r="D26" i="2"/>
  <c r="E24" i="2"/>
  <c r="D21" i="2"/>
  <c r="D19" i="2"/>
  <c r="D18" i="2"/>
  <c r="D17" i="2"/>
  <c r="D16" i="2"/>
  <c r="E14" i="2"/>
  <c r="D11" i="2"/>
  <c r="D9" i="2"/>
  <c r="D8" i="2"/>
  <c r="D7" i="2"/>
  <c r="D6" i="2"/>
  <c r="D5" i="2"/>
  <c r="D4" i="2"/>
  <c r="D3" i="2"/>
  <c r="E1" i="2"/>
  <c r="I148" i="1"/>
  <c r="I147" i="1"/>
  <c r="I146" i="1"/>
  <c r="I145" i="1"/>
  <c r="H145" i="1"/>
  <c r="H142" i="1"/>
  <c r="D141" i="1"/>
  <c r="D140" i="1"/>
  <c r="E139" i="1"/>
  <c r="D139" i="1"/>
  <c r="D137" i="1"/>
  <c r="E136" i="1"/>
  <c r="D135" i="1"/>
  <c r="D134" i="1"/>
  <c r="E133" i="1"/>
  <c r="D133" i="1"/>
  <c r="F130" i="1"/>
  <c r="H128" i="1"/>
  <c r="D127" i="1"/>
  <c r="E126" i="1"/>
  <c r="D126" i="1"/>
  <c r="D125" i="1"/>
  <c r="D124" i="1"/>
  <c r="D123" i="1"/>
  <c r="E122" i="1"/>
  <c r="D122" i="1"/>
  <c r="D121" i="1"/>
  <c r="E120" i="1"/>
  <c r="D120" i="1"/>
  <c r="D119" i="1"/>
  <c r="E118" i="1"/>
  <c r="E117" i="1"/>
  <c r="D117" i="1"/>
  <c r="D116" i="1"/>
  <c r="E115" i="1"/>
  <c r="D115" i="1"/>
  <c r="E114" i="1"/>
  <c r="D114" i="1"/>
  <c r="D113" i="1"/>
  <c r="D112" i="1"/>
  <c r="F110" i="1"/>
  <c r="H108" i="1"/>
  <c r="D106" i="1"/>
  <c r="E105" i="1"/>
  <c r="D105" i="1"/>
  <c r="E104" i="1"/>
  <c r="D104" i="1"/>
  <c r="E103" i="1"/>
  <c r="D103" i="1"/>
  <c r="E102" i="1"/>
  <c r="D102" i="1"/>
  <c r="E101" i="1"/>
  <c r="D101" i="1"/>
  <c r="D100" i="1"/>
  <c r="F98" i="1"/>
  <c r="H96" i="1"/>
  <c r="D95" i="1"/>
  <c r="E94" i="1"/>
  <c r="D94" i="1"/>
  <c r="D93" i="1"/>
  <c r="F90" i="1"/>
  <c r="H88" i="1"/>
  <c r="D87" i="1"/>
  <c r="D86" i="1"/>
  <c r="D85" i="1"/>
  <c r="D83" i="1"/>
  <c r="D82" i="1"/>
  <c r="D81" i="1"/>
  <c r="E80" i="1"/>
  <c r="D80" i="1"/>
  <c r="D79" i="1"/>
  <c r="D78" i="1"/>
  <c r="E77" i="1"/>
  <c r="D77" i="1"/>
  <c r="F75" i="1"/>
  <c r="H73" i="1"/>
  <c r="D72" i="1"/>
  <c r="D71" i="1"/>
  <c r="E70" i="1"/>
  <c r="D70" i="1"/>
  <c r="E69" i="1"/>
  <c r="D69" i="1"/>
  <c r="F67" i="1"/>
  <c r="H65" i="1"/>
  <c r="E64" i="1"/>
  <c r="D64" i="1"/>
  <c r="E63" i="1"/>
  <c r="D63" i="1"/>
  <c r="D61" i="1"/>
  <c r="E60" i="1"/>
  <c r="E59" i="1"/>
  <c r="D59" i="1"/>
  <c r="F57" i="1"/>
  <c r="H55" i="1"/>
  <c r="D53" i="1"/>
  <c r="E52" i="1"/>
  <c r="D52" i="1"/>
  <c r="E51" i="1"/>
  <c r="D51" i="1"/>
  <c r="E50" i="1"/>
  <c r="D50" i="1"/>
  <c r="D49" i="1"/>
  <c r="E48" i="1"/>
  <c r="D48" i="1"/>
  <c r="F46" i="1"/>
  <c r="H44" i="1"/>
  <c r="E43" i="1"/>
  <c r="D43" i="1"/>
  <c r="E42" i="1"/>
  <c r="D42" i="1"/>
  <c r="D41" i="1"/>
  <c r="D40" i="1"/>
  <c r="E39" i="1"/>
  <c r="D39" i="1"/>
  <c r="E38" i="1"/>
  <c r="D38" i="1"/>
  <c r="F36" i="1"/>
  <c r="H34" i="1"/>
  <c r="H147" i="1" s="1"/>
  <c r="D33" i="1"/>
  <c r="E32" i="1"/>
  <c r="D32" i="1"/>
  <c r="D31" i="1"/>
  <c r="E30" i="1"/>
  <c r="D30" i="1"/>
  <c r="E29" i="1"/>
  <c r="D29" i="1"/>
  <c r="E28" i="1"/>
  <c r="D28" i="1"/>
  <c r="E27" i="1"/>
  <c r="D27" i="1"/>
  <c r="E26" i="1"/>
  <c r="D26" i="1"/>
  <c r="F24" i="1"/>
  <c r="H22" i="1"/>
  <c r="D21" i="1"/>
  <c r="E19" i="1"/>
  <c r="D19" i="1"/>
  <c r="E18" i="1"/>
  <c r="D18" i="1"/>
  <c r="D17" i="1"/>
  <c r="E16" i="1"/>
  <c r="D16" i="1"/>
  <c r="F14" i="1"/>
  <c r="H12" i="1"/>
  <c r="H146" i="1" s="1"/>
  <c r="E11" i="1"/>
  <c r="D11" i="1"/>
  <c r="E9" i="1"/>
  <c r="D9" i="1"/>
  <c r="D8" i="1"/>
  <c r="D7" i="1"/>
  <c r="D6" i="1"/>
  <c r="E5" i="1"/>
  <c r="D5" i="1"/>
  <c r="E4" i="1"/>
  <c r="D4" i="1"/>
  <c r="E3" i="1"/>
  <c r="D3" i="1"/>
  <c r="F1" i="1"/>
  <c r="H148" i="1" l="1"/>
</calcChain>
</file>

<file path=xl/sharedStrings.xml><?xml version="1.0" encoding="utf-8"?>
<sst xmlns="http://schemas.openxmlformats.org/spreadsheetml/2006/main" count="941" uniqueCount="242">
  <si>
    <t>GO SUIT CLOTHING + ITEMS WORN</t>
  </si>
  <si>
    <t>Item</t>
  </si>
  <si>
    <t>Generic ranking</t>
  </si>
  <si>
    <t>Description or Purpose</t>
  </si>
  <si>
    <t>Example</t>
  </si>
  <si>
    <t>Ranking</t>
  </si>
  <si>
    <t>Packed</t>
  </si>
  <si>
    <t>Hiking shirt</t>
  </si>
  <si>
    <t>Critical</t>
  </si>
  <si>
    <t>More Info</t>
  </si>
  <si>
    <t>Selection</t>
  </si>
  <si>
    <t>Weight</t>
  </si>
  <si>
    <t>Polyester, merino, or nylon. Ideally knit, not woven.</t>
  </si>
  <si>
    <t>Pre-Hike Comments</t>
  </si>
  <si>
    <t>Certain?</t>
  </si>
  <si>
    <t>Alternate</t>
  </si>
  <si>
    <t>Weighed?</t>
  </si>
  <si>
    <t>In-hand?</t>
  </si>
  <si>
    <t>Other Notes</t>
  </si>
  <si>
    <t>Post-Hike Comments</t>
  </si>
  <si>
    <t>Pants or shorts</t>
  </si>
  <si>
    <t>Athletic shorts or nylon trekking pants</t>
  </si>
  <si>
    <t>Underwear A</t>
  </si>
  <si>
    <t>Contingent</t>
  </si>
  <si>
    <t>If wearing pants or unlined shorts. One pair.</t>
  </si>
  <si>
    <t>Bra A</t>
  </si>
  <si>
    <t>Polyester or nylon, plus spandex for stretch</t>
  </si>
  <si>
    <t>-</t>
  </si>
  <si>
    <t>Headwear</t>
  </si>
  <si>
    <t>Suggested</t>
  </si>
  <si>
    <t>Keep precip, sweat, hoods, &amp; sun out of eyes, off face</t>
  </si>
  <si>
    <t>Sun gloves</t>
  </si>
  <si>
    <t>Optional</t>
  </si>
  <si>
    <t>Protection from intense sun, sharp rocks, scratchy brush</t>
  </si>
  <si>
    <t>Sunglasses</t>
  </si>
  <si>
    <t>Generally unnecessary for East, necessary for West</t>
  </si>
  <si>
    <t>Rx glasses or contacts</t>
  </si>
  <si>
    <t>Pros &amp; cons to both</t>
  </si>
  <si>
    <t>Preciption glasses or contact lenses</t>
  </si>
  <si>
    <t>Trekking Poles</t>
  </si>
  <si>
    <t>Extra stability, traction, &amp; power. Use to pitch shelter.</t>
  </si>
  <si>
    <t>FOOTWEAR</t>
  </si>
  <si>
    <t>Shoes</t>
  </si>
  <si>
    <t>Trail running or hiking shoes. W/o good reason, no boots.</t>
  </si>
  <si>
    <t>Gaiters</t>
  </si>
  <si>
    <t>Keep debris out. Ideal: breathable stretch nylon.</t>
  </si>
  <si>
    <t>Hiking socks A</t>
  </si>
  <si>
    <t>Polyester or merino w/nylon &amp; limited spandex</t>
  </si>
  <si>
    <t>TOTAL</t>
  </si>
  <si>
    <t>Hiking socks B</t>
  </si>
  <si>
    <t>Dry locales: Rotate with pair A, wash &amp; dry between use</t>
  </si>
  <si>
    <t>Camp footwear</t>
  </si>
  <si>
    <t>Nice to have if hiking shoes are wet. Not for day use.</t>
  </si>
  <si>
    <t>Cheap slide sandals, airline/travel slippers</t>
  </si>
  <si>
    <t>Sleeping socks</t>
  </si>
  <si>
    <t>Polyester, wool, or fleece. Not for daytime use.</t>
  </si>
  <si>
    <t>CLOTHING: ELEMENT PROTECTION</t>
  </si>
  <si>
    <t>Shell top</t>
  </si>
  <si>
    <t>Rain jacket, umbrella, or poncho. If dry, windshirt OK.</t>
  </si>
  <si>
    <t>Shell bottoms</t>
  </si>
  <si>
    <t>Rain pants or skirt. If warm or dry, wind pants OK.</t>
  </si>
  <si>
    <t>Umbrella</t>
  </si>
  <si>
    <t>Truly WP &amp; breathable. And protects from sun.</t>
  </si>
  <si>
    <t>Mid-layer top</t>
  </si>
  <si>
    <t xml:space="preserve">Fleece or wool. Buffers moisture &amp; adds warmth. </t>
  </si>
  <si>
    <t>Trekking pants or thermals</t>
  </si>
  <si>
    <t>Pants: bugs, brush, cold &amp; sun. Thermals: just cold.</t>
  </si>
  <si>
    <t>Liner gloves</t>
  </si>
  <si>
    <t>Add warmth, keep dexterity. Fleece, poly, or wool.</t>
  </si>
  <si>
    <t>Shell mitts</t>
  </si>
  <si>
    <t>WP, maybe WP/B. For cold precip or chilling winds.</t>
  </si>
  <si>
    <t>Insulated headwear</t>
  </si>
  <si>
    <t>Warmth, esp for ears, independent of jacket hood</t>
  </si>
  <si>
    <t>CLOTHING: STOP &amp; SLEEP</t>
  </si>
  <si>
    <t>Insulated jacket</t>
  </si>
  <si>
    <t>Down or synthetic fill. For camp + cool rest stops.</t>
  </si>
  <si>
    <t>Insulated pants</t>
  </si>
  <si>
    <t>For cold or long camps. Down, synthetic, fleece.</t>
  </si>
  <si>
    <t>UL slide sandals, airline slippers, bread bags</t>
  </si>
  <si>
    <t>Underwear B</t>
  </si>
  <si>
    <t>Rec'd for women. Wash, dry &amp; rotate with Pair A.</t>
  </si>
  <si>
    <t>Bra B</t>
  </si>
  <si>
    <t>Rotate with Bra A. Wash &amp; dry between uses.</t>
  </si>
  <si>
    <t>Sleeping top</t>
  </si>
  <si>
    <t>For wet trips, to avoid sleeping in wet clothes</t>
  </si>
  <si>
    <t>Sleeping bottoms</t>
  </si>
  <si>
    <t>PACKING</t>
  </si>
  <si>
    <t>Pack</t>
  </si>
  <si>
    <t>Sweet spot is 2-3 lbs: durable, features, frame</t>
  </si>
  <si>
    <t>Waterproofing</t>
  </si>
  <si>
    <t>Dry bags, pack cover, or pack liner</t>
  </si>
  <si>
    <t>Food storage: today</t>
  </si>
  <si>
    <t>Keep in easily accessible spot. Holds day's rations.</t>
  </si>
  <si>
    <t>Food storage: future</t>
  </si>
  <si>
    <t>Stuff sack, Loksak, freezer bag. Buried deep in pack.</t>
  </si>
  <si>
    <t>Food protection</t>
  </si>
  <si>
    <t>Hard- or soft-sided, to deter bears &amp; "mini-bears"</t>
  </si>
  <si>
    <t>Stuff sacks</t>
  </si>
  <si>
    <t>Avoid over-organizing. I use 3: bag/quilt, pot, accessories</t>
  </si>
  <si>
    <t>Eyewear case</t>
  </si>
  <si>
    <t>Minimal weight to protect crucial &amp; $$ item</t>
  </si>
  <si>
    <t>Hard case included with sunglasses</t>
  </si>
  <si>
    <t>SHELTER</t>
  </si>
  <si>
    <t>Rainfly or tarp</t>
  </si>
  <si>
    <t>Shed precip &amp; wind. May be attached to inner nest.</t>
  </si>
  <si>
    <t>Nest, bivy, or hammock</t>
  </si>
  <si>
    <t>Insect and ground protection. May be attached to fly.</t>
  </si>
  <si>
    <t>High Route 1FL Tent (inner)</t>
  </si>
  <si>
    <t>Ground cloth or footprint</t>
  </si>
  <si>
    <t>Add WP-ness to inner. Or keep gear out of dirt.</t>
  </si>
  <si>
    <t>Poles</t>
  </si>
  <si>
    <t xml:space="preserve">If tent is compatible w/trekking poles = lighter </t>
  </si>
  <si>
    <t>Tent-specific</t>
  </si>
  <si>
    <t>Guylines</t>
  </si>
  <si>
    <t>Inconveniently located roots &amp; rocks? No problem.</t>
  </si>
  <si>
    <t>Stakes</t>
  </si>
  <si>
    <t>Avoid stupid-light stakes: they fail at the worst times.</t>
  </si>
  <si>
    <t>SLEEP</t>
  </si>
  <si>
    <t>Bag or quilt</t>
  </si>
  <si>
    <t xml:space="preserve">Quilts: drafty freedom. Bags: warm constriction. </t>
  </si>
  <si>
    <t>Pad or under quilt</t>
  </si>
  <si>
    <t>Pad: closed cell or air. UQ: down or synthetic</t>
  </si>
  <si>
    <t>Pillow</t>
  </si>
  <si>
    <t>Commercial, or improvise: extra clothing in stuff sack</t>
  </si>
  <si>
    <t>KITCHEN</t>
  </si>
  <si>
    <t>Stove</t>
  </si>
  <si>
    <t>At end of long &amp; hard day, a hot meal is a treat.</t>
  </si>
  <si>
    <t>Wind screen</t>
  </si>
  <si>
    <t>A must-have for alcohol &amp; solid fuel stoves</t>
  </si>
  <si>
    <t>Pot stand</t>
  </si>
  <si>
    <t>Unncessary if pot designed to sit on stove</t>
  </si>
  <si>
    <t>Cookpot</t>
  </si>
  <si>
    <t>750ml-1L per person. Aluminum is best value.</t>
  </si>
  <si>
    <t>Eating bowl or pot</t>
  </si>
  <si>
    <t>For cook groups of 2+. If solo, eat out of pot.</t>
  </si>
  <si>
    <t>Hot drink container</t>
  </si>
  <si>
    <t>Small luxury: have hot drink while eating</t>
  </si>
  <si>
    <t>Pot lifter</t>
  </si>
  <si>
    <t>Useful for tippy stoves, if pot lacks handles</t>
  </si>
  <si>
    <t>Fuel container</t>
  </si>
  <si>
    <t>Depends on fuel</t>
  </si>
  <si>
    <t>For alcohol: disposable drink bottle</t>
  </si>
  <si>
    <t>Fuel measurement</t>
  </si>
  <si>
    <t>For noobs, helps develop eyeball sense for fuel amt</t>
  </si>
  <si>
    <t>Utensil</t>
  </si>
  <si>
    <t>Best for most meals: a spoon. Metal or plastic.</t>
  </si>
  <si>
    <t>Ignition</t>
  </si>
  <si>
    <t>Lighter or matches</t>
  </si>
  <si>
    <t>HYDRATION</t>
  </si>
  <si>
    <t>Bottle(s): primary</t>
  </si>
  <si>
    <t>Soft- or hard-sided. User-friendly size.</t>
  </si>
  <si>
    <t>Smartwater 1L</t>
  </si>
  <si>
    <t>Bottle(s): storage</t>
  </si>
  <si>
    <t>For arid areas &amp; long camps. Collapsible, larger volume.</t>
  </si>
  <si>
    <t>Treatment: primary</t>
  </si>
  <si>
    <t>Must be fast, or else every water stop is an ordeal</t>
  </si>
  <si>
    <t>Treatment: secondary</t>
  </si>
  <si>
    <t>As backup, or for large volumes in camp</t>
  </si>
  <si>
    <t>NAVIGATION</t>
  </si>
  <si>
    <t>Guidebook</t>
  </si>
  <si>
    <t>If available for trail or route</t>
  </si>
  <si>
    <t>Topographic maps</t>
  </si>
  <si>
    <t>Small- &amp; large-scale</t>
  </si>
  <si>
    <t>Databook</t>
  </si>
  <si>
    <t>Barebones spreadsheet of key landmarks</t>
  </si>
  <si>
    <t>Watch</t>
  </si>
  <si>
    <t>Basic watch, altimeter watch, or GPS sport watch</t>
  </si>
  <si>
    <t>Compass</t>
  </si>
  <si>
    <t xml:space="preserve">For regular use, baseplate w/adj declination is best </t>
  </si>
  <si>
    <t>Handheld GPS or GPS app</t>
  </si>
  <si>
    <t>Smartphone w/GPS app: more user-friendly, less $$</t>
  </si>
  <si>
    <t>Paper protection</t>
  </si>
  <si>
    <t>For maps, guidebook, permit, emergency contacts</t>
  </si>
  <si>
    <t>Writing instrument</t>
  </si>
  <si>
    <t>Generally useful. I like to take route notes, too.</t>
  </si>
  <si>
    <t>Retractable ball point pen, blue or black ink</t>
  </si>
  <si>
    <t>TOOLS, FIRST AID, EMERGENCY, &amp; UTILITY</t>
  </si>
  <si>
    <t>Light</t>
  </si>
  <si>
    <t>For night-hiking, want 250+ lumens; less for camp use</t>
  </si>
  <si>
    <t>Knife</t>
  </si>
  <si>
    <t>This is not Survivor. Small blade + scissors is okay.</t>
  </si>
  <si>
    <t>First Aid Kit</t>
  </si>
  <si>
    <t>Medications, wound care, tweezers, anti-chafing</t>
  </si>
  <si>
    <t>Foot care kit</t>
  </si>
  <si>
    <t>Maceration, hot spots, &amp; blisters</t>
  </si>
  <si>
    <t>Repair Kit</t>
  </si>
  <si>
    <t>Clothing, shoes, pad repairs, extra personal items</t>
  </si>
  <si>
    <t>Sat comm</t>
  </si>
  <si>
    <t>PLB, messenger, sat phone; cell phone only if reliable</t>
  </si>
  <si>
    <t>Firestarter</t>
  </si>
  <si>
    <t>To start a fire: fuel, oxygen, ignition</t>
  </si>
  <si>
    <t>Bic Lighter + discarded Mylar food wrapper</t>
  </si>
  <si>
    <t>Power</t>
  </si>
  <si>
    <t>Recharge phone, sat comm, GPS watch</t>
  </si>
  <si>
    <t>Insect repellent</t>
  </si>
  <si>
    <t>Repel 'skeeters, ticks, no-see-ums, chiggers</t>
  </si>
  <si>
    <t>Bandana</t>
  </si>
  <si>
    <t>Multi-purpose: cleaning, washing, water filtering</t>
  </si>
  <si>
    <t>Headnet</t>
  </si>
  <si>
    <t>Avoid no-see-um mesh: poor airflow, limited sight</t>
  </si>
  <si>
    <t>Bear spray</t>
  </si>
  <si>
    <t>Versus firearm: lighter, less $$, more effective</t>
  </si>
  <si>
    <t>Sit pad</t>
  </si>
  <si>
    <t>Keep butt dry &amp; warm if sitting on cold, wet ground.</t>
  </si>
  <si>
    <t>Group shelter</t>
  </si>
  <si>
    <t>Creates large, airy, &amp; dry communal area.</t>
  </si>
  <si>
    <t>Foot traction</t>
  </si>
  <si>
    <t>For icy trails, frozen snowfields, steep snow</t>
  </si>
  <si>
    <t>Ice axe</t>
  </si>
  <si>
    <t>Self arrest, self belay, chop steps, cut cornice</t>
  </si>
  <si>
    <t>PERSONAL ITEMS</t>
  </si>
  <si>
    <t>Dental</t>
  </si>
  <si>
    <t>Oral hygiene</t>
  </si>
  <si>
    <t>Toothbrush, flossing sticks, Dr. Bronners</t>
  </si>
  <si>
    <t>Toilet paper</t>
  </si>
  <si>
    <t>Start w/natural materials, polish with 1-2 squares TP</t>
  </si>
  <si>
    <t>Bathroom assistance</t>
  </si>
  <si>
    <t>Women: pee rag and/or funnel. Men: night pee jar.</t>
  </si>
  <si>
    <t>Hand soap or sanitizer</t>
  </si>
  <si>
    <t>Especially critical in group setting</t>
  </si>
  <si>
    <t>Feminine products</t>
  </si>
  <si>
    <t>Menstruation, hair care</t>
  </si>
  <si>
    <t>Tampons, pads, elastics, brush</t>
  </si>
  <si>
    <t>Skin care</t>
  </si>
  <si>
    <t>Sunscreen, lip balm, anti-chafing</t>
  </si>
  <si>
    <t>Eye care</t>
  </si>
  <si>
    <t>Clean &amp; protect eyes and eyewear</t>
  </si>
  <si>
    <t>Saline, backup glasses or contacts, mirror</t>
  </si>
  <si>
    <t>Trip recording</t>
  </si>
  <si>
    <t>Smartphone or camera, journal, voice recorder</t>
  </si>
  <si>
    <t>Entertainment</t>
  </si>
  <si>
    <t>Music player, e-Reader</t>
  </si>
  <si>
    <t>Wallet w/ID, cash, CC</t>
  </si>
  <si>
    <t>Plastic bag, compact wallet</t>
  </si>
  <si>
    <t>Ear plugs</t>
  </si>
  <si>
    <t>Block out snoring, midnight pee runs, nature noises</t>
  </si>
  <si>
    <t>Specify weight unit:</t>
  </si>
  <si>
    <t>(Type "Ounces" or "Grams")</t>
  </si>
  <si>
    <t>WEIGHT TOTALS</t>
  </si>
  <si>
    <t>Go Suit + Footwear + Trekking Poles</t>
  </si>
  <si>
    <t>Base Weight</t>
  </si>
  <si>
    <t>Skin-Out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</si>
</sst>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color rgb="FF000000"/>
      <name val="Arial"/>
    </font>
    <font>
      <b/>
      <sz val="10"/>
      <color rgb="FF000000"/>
      <name val="Arial"/>
    </font>
    <font>
      <b/>
      <sz val="10"/>
      <name val="Arial"/>
    </font>
    <font>
      <sz val="10"/>
      <name val="Arial"/>
    </font>
    <font>
      <u/>
      <sz val="10"/>
      <color rgb="FF0000FF"/>
      <name val="Arial"/>
    </font>
    <font>
      <sz val="10"/>
      <name val="Arial"/>
    </font>
    <font>
      <b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93C47D"/>
        <bgColor rgb="FF93C47D"/>
      </patternFill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164" fontId="2" fillId="5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164" fontId="6" fillId="0" borderId="3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164" fontId="2" fillId="3" borderId="4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vertical="center" wrapText="1"/>
    </xf>
    <xf numFmtId="164" fontId="2" fillId="6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148"/>
  <sheetViews>
    <sheetView tabSelected="1" workbookViewId="0">
      <selection activeCell="H3" sqref="H3"/>
    </sheetView>
  </sheetViews>
  <sheetFormatPr defaultColWidth="14.42578125" defaultRowHeight="12.75" customHeight="1" x14ac:dyDescent="0.2"/>
  <cols>
    <col min="1" max="1" width="13.7109375" customWidth="1"/>
    <col min="2" max="2" width="11.5703125" customWidth="1"/>
    <col min="3" max="3" width="25.140625" customWidth="1"/>
    <col min="4" max="4" width="21.5703125" customWidth="1"/>
    <col min="5" max="5" width="18" customWidth="1"/>
    <col min="6" max="6" width="14.42578125" customWidth="1"/>
    <col min="7" max="7" width="21.5703125" customWidth="1"/>
    <col min="8" max="8" width="8.7109375" customWidth="1"/>
    <col min="9" max="9" width="17.140625" customWidth="1"/>
    <col min="10" max="10" width="10.85546875" customWidth="1"/>
    <col min="11" max="11" width="21.5703125" customWidth="1"/>
    <col min="12" max="14" width="10.85546875" customWidth="1"/>
    <col min="15" max="15" width="17.85546875" customWidth="1"/>
    <col min="16" max="16" width="21.5703125" customWidth="1"/>
  </cols>
  <sheetData>
    <row r="1" spans="1:16" ht="26.25" customHeight="1" x14ac:dyDescent="0.2">
      <c r="A1" s="1" t="s">
        <v>0</v>
      </c>
      <c r="B1" s="2"/>
      <c r="C1" s="2"/>
      <c r="D1" s="2"/>
      <c r="E1" s="5"/>
      <c r="F1" s="3" t="str">
        <f>A1</f>
        <v>GO SUIT CLOTHING + ITEMS WORN</v>
      </c>
      <c r="G1" s="9"/>
      <c r="H1" s="11"/>
      <c r="I1" s="9"/>
      <c r="J1" s="4"/>
      <c r="K1" s="9"/>
      <c r="L1" s="4"/>
      <c r="M1" s="4"/>
      <c r="N1" s="4"/>
      <c r="O1" s="9"/>
      <c r="P1" s="12"/>
    </row>
    <row r="2" spans="1:16" ht="26.25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9</v>
      </c>
      <c r="F2" s="7" t="s">
        <v>5</v>
      </c>
      <c r="G2" s="8" t="s">
        <v>10</v>
      </c>
      <c r="H2" s="14" t="s">
        <v>11</v>
      </c>
      <c r="I2" s="8" t="s">
        <v>13</v>
      </c>
      <c r="J2" s="7" t="s">
        <v>14</v>
      </c>
      <c r="K2" s="8" t="s">
        <v>15</v>
      </c>
      <c r="L2" s="7" t="s">
        <v>16</v>
      </c>
      <c r="M2" s="7" t="s">
        <v>17</v>
      </c>
      <c r="N2" s="8" t="s">
        <v>6</v>
      </c>
      <c r="O2" s="8" t="s">
        <v>18</v>
      </c>
      <c r="P2" s="8" t="s">
        <v>19</v>
      </c>
    </row>
    <row r="3" spans="1:16" ht="33.75" customHeight="1" x14ac:dyDescent="0.2">
      <c r="A3" s="10" t="s">
        <v>7</v>
      </c>
      <c r="B3" s="13" t="s">
        <v>8</v>
      </c>
      <c r="C3" s="13" t="s">
        <v>12</v>
      </c>
      <c r="D3" s="15" t="str">
        <f>HYPERLINK("https://goo.gl/JipDe6","Patagonia Capilene LW Zip")</f>
        <v>Patagonia Capilene LW Zip</v>
      </c>
      <c r="E3" s="15" t="str">
        <f>HYPERLINK("http://andrewskurka.com/2015/backpacking-clothing-go-suit-short-long-sleeve-shirt/","Core 13 Clothing: S/S &amp; L/S Shirt")</f>
        <v>Core 13 Clothing: S/S &amp; L/S Shirt</v>
      </c>
      <c r="F3" s="16"/>
      <c r="G3" s="18"/>
      <c r="H3" s="19"/>
      <c r="I3" s="18"/>
      <c r="J3" s="17"/>
      <c r="K3" s="18"/>
      <c r="L3" s="17"/>
      <c r="M3" s="17"/>
      <c r="N3" s="17"/>
      <c r="O3" s="18"/>
      <c r="P3" s="18"/>
    </row>
    <row r="4" spans="1:16" ht="33.75" customHeight="1" x14ac:dyDescent="0.2">
      <c r="A4" s="10" t="s">
        <v>20</v>
      </c>
      <c r="B4" s="13" t="s">
        <v>8</v>
      </c>
      <c r="C4" s="13" t="s">
        <v>21</v>
      </c>
      <c r="D4" s="15" t="str">
        <f>HYPERLINK("https://goo.gl/KCYxa3","Patagonia Strider Pro 5-in")</f>
        <v>Patagonia Strider Pro 5-in</v>
      </c>
      <c r="E4" s="15" t="str">
        <f>HYPERLINK("http://andrewskurka.com/2015/core-clothing-go-suit-running-shorts/","Core 13 Clothing: Running Shorts")</f>
        <v>Core 13 Clothing: Running Shorts</v>
      </c>
      <c r="F4" s="16"/>
      <c r="G4" s="18"/>
      <c r="H4" s="19"/>
      <c r="I4" s="18"/>
      <c r="J4" s="17"/>
      <c r="K4" s="18"/>
      <c r="L4" s="17"/>
      <c r="M4" s="17"/>
      <c r="N4" s="17"/>
      <c r="O4" s="18"/>
      <c r="P4" s="18"/>
    </row>
    <row r="5" spans="1:16" ht="33.75" customHeight="1" x14ac:dyDescent="0.2">
      <c r="A5" s="10" t="s">
        <v>22</v>
      </c>
      <c r="B5" s="13" t="s">
        <v>23</v>
      </c>
      <c r="C5" s="13" t="s">
        <v>24</v>
      </c>
      <c r="D5" s="15" t="str">
        <f>HYPERLINK("http://amzn.to/2njtoCp","Saxx Kinetic Boxer Briefs")</f>
        <v>Saxx Kinetic Boxer Briefs</v>
      </c>
      <c r="E5" s="15" t="str">
        <f>HYPERLINK("http://andrewskurka.com/2015/core-clothing-go-suit-pants-underwear/","Core 13 Clothing: Pants &amp; Underwear")</f>
        <v>Core 13 Clothing: Pants &amp; Underwear</v>
      </c>
      <c r="F5" s="16"/>
      <c r="G5" s="18"/>
      <c r="H5" s="19"/>
      <c r="I5" s="18"/>
      <c r="J5" s="17"/>
      <c r="K5" s="18"/>
      <c r="L5" s="17"/>
      <c r="M5" s="17"/>
      <c r="N5" s="17"/>
      <c r="O5" s="18"/>
      <c r="P5" s="18"/>
    </row>
    <row r="6" spans="1:16" ht="33.75" customHeight="1" x14ac:dyDescent="0.2">
      <c r="A6" s="10" t="s">
        <v>25</v>
      </c>
      <c r="B6" s="13" t="s">
        <v>23</v>
      </c>
      <c r="C6" s="13" t="s">
        <v>26</v>
      </c>
      <c r="D6" s="15" t="str">
        <f>HYPERLINK("https://goo.gl/7BbY46","Brooks Fiona Sports Bra")</f>
        <v>Brooks Fiona Sports Bra</v>
      </c>
      <c r="E6" s="13" t="s">
        <v>27</v>
      </c>
      <c r="F6" s="20"/>
      <c r="G6" s="13"/>
      <c r="H6" s="23"/>
      <c r="I6" s="13"/>
      <c r="J6" s="21"/>
      <c r="K6" s="13"/>
      <c r="L6" s="21"/>
      <c r="M6" s="21"/>
      <c r="N6" s="21"/>
      <c r="O6" s="13"/>
      <c r="P6" s="13"/>
    </row>
    <row r="7" spans="1:16" ht="33.75" customHeight="1" x14ac:dyDescent="0.2">
      <c r="A7" s="22" t="s">
        <v>28</v>
      </c>
      <c r="B7" s="13" t="s">
        <v>29</v>
      </c>
      <c r="C7" s="13" t="s">
        <v>30</v>
      </c>
      <c r="D7" s="15" t="str">
        <f>HYPERLINK("https://amzn.to/2Hospv8","Headsweats ProTech")</f>
        <v>Headsweats ProTech</v>
      </c>
      <c r="E7" s="13" t="s">
        <v>27</v>
      </c>
      <c r="F7" s="20"/>
      <c r="G7" s="13"/>
      <c r="H7" s="23"/>
      <c r="I7" s="13"/>
      <c r="J7" s="21"/>
      <c r="K7" s="13"/>
      <c r="L7" s="21"/>
      <c r="M7" s="21"/>
      <c r="N7" s="21"/>
      <c r="O7" s="13"/>
      <c r="P7" s="13"/>
    </row>
    <row r="8" spans="1:16" ht="33.75" customHeight="1" x14ac:dyDescent="0.2">
      <c r="A8" s="10" t="s">
        <v>31</v>
      </c>
      <c r="B8" s="13" t="s">
        <v>32</v>
      </c>
      <c r="C8" s="13" t="s">
        <v>33</v>
      </c>
      <c r="D8" s="15" t="str">
        <f>HYPERLINK("https://andrewskurka.com/2018/review-glacier-glove-ascension-bay-sun-glove-backpacking/","Glacier Glove Sunglove")</f>
        <v>Glacier Glove Sunglove</v>
      </c>
      <c r="E8" s="18"/>
      <c r="F8" s="20"/>
      <c r="G8" s="13"/>
      <c r="H8" s="23"/>
      <c r="I8" s="13"/>
      <c r="J8" s="21"/>
      <c r="K8" s="13"/>
      <c r="L8" s="21"/>
      <c r="M8" s="21"/>
      <c r="N8" s="21"/>
      <c r="O8" s="13"/>
      <c r="P8" s="13"/>
    </row>
    <row r="9" spans="1:16" ht="33.75" customHeight="1" x14ac:dyDescent="0.2">
      <c r="A9" s="22" t="s">
        <v>34</v>
      </c>
      <c r="B9" s="13" t="s">
        <v>23</v>
      </c>
      <c r="C9" s="13" t="s">
        <v>35</v>
      </c>
      <c r="D9" s="15" t="str">
        <f>HYPERLINK("http://andrewskurka.com/2016/long-term-review-julbo-dirt-sunglasses-photochromic-polarized/","Julbo Dirt")</f>
        <v>Julbo Dirt</v>
      </c>
      <c r="E9" s="15" t="str">
        <f>HYPERLINK("http://andrewskurka.com/2015/sunglasses-replacement-shopping-decisions/","Buying considerations")</f>
        <v>Buying considerations</v>
      </c>
      <c r="F9" s="20"/>
      <c r="G9" s="13"/>
      <c r="H9" s="23"/>
      <c r="I9" s="13"/>
      <c r="J9" s="21"/>
      <c r="K9" s="13"/>
      <c r="L9" s="21"/>
      <c r="M9" s="21"/>
      <c r="N9" s="21"/>
      <c r="O9" s="13"/>
      <c r="P9" s="13"/>
    </row>
    <row r="10" spans="1:16" ht="33.75" customHeight="1" x14ac:dyDescent="0.2">
      <c r="A10" s="10" t="s">
        <v>36</v>
      </c>
      <c r="B10" s="13" t="s">
        <v>23</v>
      </c>
      <c r="C10" s="13" t="s">
        <v>37</v>
      </c>
      <c r="D10" s="18" t="s">
        <v>38</v>
      </c>
      <c r="E10" s="13" t="s">
        <v>27</v>
      </c>
      <c r="F10" s="20"/>
      <c r="G10" s="13"/>
      <c r="H10" s="23"/>
      <c r="I10" s="13"/>
      <c r="J10" s="21"/>
      <c r="K10" s="13"/>
      <c r="L10" s="21"/>
      <c r="M10" s="21"/>
      <c r="N10" s="21"/>
      <c r="O10" s="29"/>
      <c r="P10" s="13"/>
    </row>
    <row r="11" spans="1:16" ht="33.75" customHeight="1" x14ac:dyDescent="0.2">
      <c r="A11" s="22" t="s">
        <v>39</v>
      </c>
      <c r="B11" s="13" t="s">
        <v>8</v>
      </c>
      <c r="C11" s="13" t="s">
        <v>40</v>
      </c>
      <c r="D11" s="15" t="str">
        <f>HYPERLINK("https://andrewskurka.com/2015/black-diamond-alpine-carbon-cork-trekking-poles-review/","Black Diamond Alpine Carbon Cork")</f>
        <v>Black Diamond Alpine Carbon Cork</v>
      </c>
      <c r="E11" s="15" t="str">
        <f>HYPERLINK("http://andrewskurka.com/section/how-to/gear-and-supplies/trekking-poles/","Tag: Trekking poles")</f>
        <v>Tag: Trekking poles</v>
      </c>
      <c r="F11" s="20"/>
      <c r="G11" s="13"/>
      <c r="H11" s="23"/>
      <c r="I11" s="13"/>
      <c r="J11" s="21"/>
      <c r="K11" s="13"/>
      <c r="L11" s="21"/>
      <c r="M11" s="21"/>
      <c r="N11" s="21"/>
      <c r="O11" s="13"/>
      <c r="P11" s="13"/>
    </row>
    <row r="12" spans="1:16" ht="33.75" customHeight="1" x14ac:dyDescent="0.2">
      <c r="A12" s="24"/>
      <c r="B12" s="25"/>
      <c r="C12" s="25"/>
      <c r="D12" s="25"/>
      <c r="E12" s="25"/>
      <c r="F12" s="26"/>
      <c r="G12" s="31" t="s">
        <v>48</v>
      </c>
      <c r="H12" s="32">
        <f>SUM(H3:H11)</f>
        <v>0</v>
      </c>
      <c r="I12" s="25"/>
      <c r="J12" s="27"/>
      <c r="K12" s="25"/>
      <c r="L12" s="27"/>
      <c r="M12" s="27"/>
      <c r="N12" s="27"/>
      <c r="O12" s="25"/>
      <c r="P12" s="25"/>
    </row>
    <row r="13" spans="1:16" ht="15.75" customHeight="1" x14ac:dyDescent="0.2">
      <c r="A13" s="24"/>
      <c r="B13" s="25"/>
      <c r="C13" s="25"/>
      <c r="D13" s="25"/>
      <c r="E13" s="25"/>
      <c r="F13" s="26"/>
      <c r="G13" s="33"/>
      <c r="H13" s="34"/>
      <c r="I13" s="25"/>
      <c r="J13" s="27"/>
      <c r="K13" s="25"/>
      <c r="L13" s="27"/>
      <c r="M13" s="27"/>
      <c r="N13" s="27"/>
      <c r="O13" s="25"/>
      <c r="P13" s="25"/>
    </row>
    <row r="14" spans="1:16" ht="26.25" customHeight="1" x14ac:dyDescent="0.2">
      <c r="A14" s="1" t="s">
        <v>41</v>
      </c>
      <c r="B14" s="2"/>
      <c r="C14" s="2"/>
      <c r="D14" s="2"/>
      <c r="E14" s="5"/>
      <c r="F14" s="3" t="str">
        <f>A14</f>
        <v>FOOTWEAR</v>
      </c>
      <c r="G14" s="9"/>
      <c r="H14" s="11"/>
      <c r="I14" s="9"/>
      <c r="J14" s="4"/>
      <c r="K14" s="9"/>
      <c r="L14" s="4"/>
      <c r="M14" s="4"/>
      <c r="N14" s="4"/>
      <c r="O14" s="9"/>
      <c r="P14" s="12"/>
    </row>
    <row r="15" spans="1:16" ht="26.25" customHeight="1" x14ac:dyDescent="0.2">
      <c r="A15" s="6" t="s">
        <v>1</v>
      </c>
      <c r="B15" s="6" t="s">
        <v>5</v>
      </c>
      <c r="C15" s="6" t="s">
        <v>3</v>
      </c>
      <c r="D15" s="6" t="s">
        <v>4</v>
      </c>
      <c r="E15" s="6" t="s">
        <v>9</v>
      </c>
      <c r="F15" s="7" t="s">
        <v>5</v>
      </c>
      <c r="G15" s="8" t="s">
        <v>10</v>
      </c>
      <c r="H15" s="14" t="s">
        <v>11</v>
      </c>
      <c r="I15" s="8" t="s">
        <v>13</v>
      </c>
      <c r="J15" s="7" t="s">
        <v>14</v>
      </c>
      <c r="K15" s="8" t="s">
        <v>15</v>
      </c>
      <c r="L15" s="7" t="s">
        <v>16</v>
      </c>
      <c r="M15" s="7" t="s">
        <v>17</v>
      </c>
      <c r="N15" s="8" t="s">
        <v>6</v>
      </c>
      <c r="O15" s="8" t="s">
        <v>18</v>
      </c>
      <c r="P15" s="8" t="s">
        <v>19</v>
      </c>
    </row>
    <row r="16" spans="1:16" ht="42.75" customHeight="1" x14ac:dyDescent="0.2">
      <c r="A16" s="22" t="s">
        <v>42</v>
      </c>
      <c r="B16" s="13" t="s">
        <v>8</v>
      </c>
      <c r="C16" s="13" t="s">
        <v>43</v>
      </c>
      <c r="D16" s="15" t="str">
        <f>HYPERLINK("https://andrewskurka.com/2017/review-la-sportiva-bushido-high-route-backpacking/","La Sportiva Bushido")</f>
        <v>La Sportiva Bushido</v>
      </c>
      <c r="E16" s="15" t="str">
        <f>HYPERLINK("http://andrewskurka.com/2015/sd-live-july-22-would-you-suck-on-these-toes/","Footwear &amp; Footcare - SD LIVE")</f>
        <v>Footwear &amp; Footcare - SD LIVE</v>
      </c>
      <c r="F16" s="28"/>
      <c r="G16" s="29"/>
      <c r="H16" s="35"/>
      <c r="I16" s="29"/>
      <c r="J16" s="30"/>
      <c r="K16" s="29"/>
      <c r="L16" s="30"/>
      <c r="M16" s="30"/>
      <c r="N16" s="30"/>
      <c r="O16" s="29"/>
      <c r="P16" s="29"/>
    </row>
    <row r="17" spans="1:16" ht="33.75" customHeight="1" x14ac:dyDescent="0.2">
      <c r="A17" s="22" t="s">
        <v>44</v>
      </c>
      <c r="B17" s="13" t="s">
        <v>29</v>
      </c>
      <c r="C17" s="13" t="s">
        <v>45</v>
      </c>
      <c r="D17" s="15" t="str">
        <f>HYPERLINK("http://www.simblissity.net/levagaiter.htm","Simblissity Levagaiter")</f>
        <v>Simblissity Levagaiter</v>
      </c>
      <c r="E17" s="13" t="s">
        <v>27</v>
      </c>
      <c r="F17" s="28"/>
      <c r="G17" s="29"/>
      <c r="H17" s="35"/>
      <c r="I17" s="29"/>
      <c r="J17" s="30"/>
      <c r="K17" s="29"/>
      <c r="L17" s="30"/>
      <c r="M17" s="30"/>
      <c r="N17" s="30"/>
      <c r="O17" s="29"/>
      <c r="P17" s="29"/>
    </row>
    <row r="18" spans="1:16" ht="33.75" customHeight="1" x14ac:dyDescent="0.2">
      <c r="A18" s="10" t="s">
        <v>46</v>
      </c>
      <c r="B18" s="13" t="s">
        <v>8</v>
      </c>
      <c r="C18" s="13" t="s">
        <v>47</v>
      </c>
      <c r="D18" s="15" t="str">
        <f t="shared" ref="D18:D19" si="0">HYPERLINK("https://andrewskurka.com/2018/long-term-review-defeet-wooleator-sock/","DeFeet Wooleator")</f>
        <v>DeFeet Wooleator</v>
      </c>
      <c r="E18" s="15" t="str">
        <f>HYPERLINK("http://andrewskurka.com/2012/three-season-sock-systems/","My 3-season Sock System")</f>
        <v>My 3-season Sock System</v>
      </c>
      <c r="F18" s="20"/>
      <c r="G18" s="13"/>
      <c r="H18" s="23"/>
      <c r="I18" s="13"/>
      <c r="J18" s="21"/>
      <c r="K18" s="13"/>
      <c r="L18" s="21"/>
      <c r="M18" s="21"/>
      <c r="N18" s="21"/>
      <c r="O18" s="13"/>
      <c r="P18" s="13"/>
    </row>
    <row r="19" spans="1:16" ht="33.75" customHeight="1" x14ac:dyDescent="0.2">
      <c r="A19" s="10" t="s">
        <v>49</v>
      </c>
      <c r="B19" s="13" t="s">
        <v>23</v>
      </c>
      <c r="C19" s="13" t="s">
        <v>50</v>
      </c>
      <c r="D19" s="15" t="str">
        <f t="shared" si="0"/>
        <v>DeFeet Wooleator</v>
      </c>
      <c r="E19" s="15" t="str">
        <f>HYPERLINK("http://andrewskurka.com/2012/minimizing-the-effects-and-aftermath-of-wet-feet/","How to: Minimize effects of wet feet")</f>
        <v>How to: Minimize effects of wet feet</v>
      </c>
      <c r="F19" s="20"/>
      <c r="G19" s="13"/>
      <c r="H19" s="23"/>
      <c r="I19" s="13"/>
      <c r="J19" s="21"/>
      <c r="K19" s="13"/>
      <c r="L19" s="21"/>
      <c r="M19" s="21"/>
      <c r="N19" s="21"/>
      <c r="O19" s="13"/>
      <c r="P19" s="13"/>
    </row>
    <row r="20" spans="1:16" ht="33.75" customHeight="1" x14ac:dyDescent="0.2">
      <c r="A20" s="10" t="s">
        <v>51</v>
      </c>
      <c r="B20" s="13" t="s">
        <v>23</v>
      </c>
      <c r="C20" s="13" t="s">
        <v>52</v>
      </c>
      <c r="D20" s="18" t="s">
        <v>78</v>
      </c>
      <c r="E20" s="36" t="s">
        <v>27</v>
      </c>
      <c r="F20" s="28"/>
      <c r="G20" s="29"/>
      <c r="H20" s="35"/>
      <c r="I20" s="29"/>
      <c r="J20" s="30"/>
      <c r="K20" s="29"/>
      <c r="L20" s="30"/>
      <c r="M20" s="30"/>
      <c r="N20" s="30"/>
      <c r="O20" s="29"/>
      <c r="P20" s="29"/>
    </row>
    <row r="21" spans="1:16" ht="33.75" customHeight="1" x14ac:dyDescent="0.2">
      <c r="A21" s="10" t="s">
        <v>54</v>
      </c>
      <c r="B21" s="13" t="s">
        <v>23</v>
      </c>
      <c r="C21" s="13" t="s">
        <v>55</v>
      </c>
      <c r="D21" s="15" t="str">
        <f>HYPERLINK("https://amzn.to/2Tx6CdX","DeFeet Woolie Boolie")</f>
        <v>DeFeet Woolie Boolie</v>
      </c>
      <c r="E21" s="18"/>
      <c r="F21" s="28"/>
      <c r="G21" s="29"/>
      <c r="H21" s="35"/>
      <c r="I21" s="29"/>
      <c r="J21" s="30"/>
      <c r="K21" s="29"/>
      <c r="L21" s="30"/>
      <c r="M21" s="30"/>
      <c r="N21" s="30"/>
      <c r="O21" s="29"/>
      <c r="P21" s="29"/>
    </row>
    <row r="22" spans="1:16" ht="33.75" customHeight="1" x14ac:dyDescent="0.2">
      <c r="A22" s="24"/>
      <c r="B22" s="25"/>
      <c r="C22" s="25"/>
      <c r="D22" s="25"/>
      <c r="E22" s="25"/>
      <c r="F22" s="26"/>
      <c r="G22" s="31" t="s">
        <v>48</v>
      </c>
      <c r="H22" s="32">
        <f>SUM(H16:H21)</f>
        <v>0</v>
      </c>
      <c r="I22" s="25"/>
      <c r="J22" s="27"/>
      <c r="K22" s="25"/>
      <c r="L22" s="27"/>
      <c r="M22" s="27"/>
      <c r="N22" s="27"/>
      <c r="O22" s="25"/>
      <c r="P22" s="25"/>
    </row>
    <row r="23" spans="1:16" ht="15.75" customHeight="1" x14ac:dyDescent="0.2">
      <c r="A23" s="24"/>
      <c r="B23" s="25"/>
      <c r="C23" s="25"/>
      <c r="D23" s="25"/>
      <c r="E23" s="25"/>
      <c r="F23" s="26"/>
      <c r="G23" s="33"/>
      <c r="H23" s="34"/>
      <c r="I23" s="25"/>
      <c r="J23" s="27"/>
      <c r="K23" s="25"/>
      <c r="L23" s="27"/>
      <c r="M23" s="27"/>
      <c r="N23" s="27"/>
      <c r="O23" s="25"/>
      <c r="P23" s="25"/>
    </row>
    <row r="24" spans="1:16" ht="26.25" customHeight="1" x14ac:dyDescent="0.2">
      <c r="A24" s="1" t="s">
        <v>56</v>
      </c>
      <c r="B24" s="2"/>
      <c r="C24" s="2"/>
      <c r="D24" s="2"/>
      <c r="E24" s="5"/>
      <c r="F24" s="3" t="str">
        <f>A24</f>
        <v>CLOTHING: ELEMENT PROTECTION</v>
      </c>
      <c r="G24" s="9"/>
      <c r="H24" s="11"/>
      <c r="I24" s="9"/>
      <c r="J24" s="4"/>
      <c r="K24" s="9"/>
      <c r="L24" s="4"/>
      <c r="M24" s="4"/>
      <c r="N24" s="4"/>
      <c r="O24" s="9"/>
      <c r="P24" s="12"/>
    </row>
    <row r="25" spans="1:16" ht="26.25" customHeight="1" x14ac:dyDescent="0.2">
      <c r="A25" s="6" t="s">
        <v>1</v>
      </c>
      <c r="B25" s="6" t="s">
        <v>5</v>
      </c>
      <c r="C25" s="6" t="s">
        <v>3</v>
      </c>
      <c r="D25" s="6" t="s">
        <v>4</v>
      </c>
      <c r="E25" s="6" t="s">
        <v>9</v>
      </c>
      <c r="F25" s="7" t="s">
        <v>5</v>
      </c>
      <c r="G25" s="8" t="s">
        <v>10</v>
      </c>
      <c r="H25" s="14" t="s">
        <v>11</v>
      </c>
      <c r="I25" s="8" t="s">
        <v>13</v>
      </c>
      <c r="J25" s="7" t="s">
        <v>14</v>
      </c>
      <c r="K25" s="8" t="s">
        <v>15</v>
      </c>
      <c r="L25" s="7" t="s">
        <v>16</v>
      </c>
      <c r="M25" s="7" t="s">
        <v>17</v>
      </c>
      <c r="N25" s="8" t="s">
        <v>6</v>
      </c>
      <c r="O25" s="8" t="s">
        <v>18</v>
      </c>
      <c r="P25" s="8" t="s">
        <v>19</v>
      </c>
    </row>
    <row r="26" spans="1:16" ht="44.25" customHeight="1" x14ac:dyDescent="0.2">
      <c r="A26" s="10" t="s">
        <v>57</v>
      </c>
      <c r="B26" s="13" t="s">
        <v>23</v>
      </c>
      <c r="C26" s="13" t="s">
        <v>58</v>
      </c>
      <c r="D26" s="15" t="str">
        <f>HYPERLINK("https://andrewskurka.com/2018/review-packa-rain-jacket-poncho-pack-cover/","The Packa")</f>
        <v>The Packa</v>
      </c>
      <c r="E26" s="15" t="str">
        <f>HYPERLINK("http://andrewskurka.com/2015/backpacking-clothing-rain-jacket-rain-pants/","Core 13 Clothing: Rain jacket &amp; pants")</f>
        <v>Core 13 Clothing: Rain jacket &amp; pants</v>
      </c>
      <c r="F26" s="28"/>
      <c r="G26" s="29"/>
      <c r="H26" s="35"/>
      <c r="I26" s="29"/>
      <c r="J26" s="30"/>
      <c r="K26" s="29"/>
      <c r="L26" s="30"/>
      <c r="M26" s="30"/>
      <c r="N26" s="30"/>
      <c r="O26" s="29"/>
      <c r="P26" s="29"/>
    </row>
    <row r="27" spans="1:16" ht="33.75" customHeight="1" x14ac:dyDescent="0.2">
      <c r="A27" s="10" t="s">
        <v>59</v>
      </c>
      <c r="B27" s="13" t="s">
        <v>23</v>
      </c>
      <c r="C27" s="13" t="s">
        <v>60</v>
      </c>
      <c r="D27" s="15" t="str">
        <f>HYPERLINK("https://goo.gl/9PZNTb","Outdoor Research Helium Rain Pants")</f>
        <v>Outdoor Research Helium Rain Pants</v>
      </c>
      <c r="E27" s="15" t="str">
        <f>HYPERLINK("http://andrewskurka.com/2015/backpacking-in-the-rain-helpful-gear-skills/","Backpacking in the Rain - SD LIVE")</f>
        <v>Backpacking in the Rain - SD LIVE</v>
      </c>
      <c r="F27" s="28"/>
      <c r="G27" s="29"/>
      <c r="H27" s="35"/>
      <c r="I27" s="29"/>
      <c r="J27" s="30"/>
      <c r="K27" s="29"/>
      <c r="L27" s="30"/>
      <c r="M27" s="30"/>
      <c r="N27" s="30"/>
      <c r="O27" s="29"/>
      <c r="P27" s="29"/>
    </row>
    <row r="28" spans="1:16" ht="33.75" customHeight="1" x14ac:dyDescent="0.2">
      <c r="A28" s="10" t="s">
        <v>61</v>
      </c>
      <c r="B28" s="13" t="s">
        <v>23</v>
      </c>
      <c r="C28" s="13" t="s">
        <v>62</v>
      </c>
      <c r="D28" s="15" t="str">
        <f>HYPERLINK("https://goo.gl/t2Cr9J","My Trail Company Chrome Umbrella")</f>
        <v>My Trail Company Chrome Umbrella</v>
      </c>
      <c r="E28" s="15" t="str">
        <f>HYPERLINK("https://andrewskurka.com/2017/backpacking-umbrella-rain-gear-shade-pros-cons-recommendations/","Pros &amp; cons of umbrellas")</f>
        <v>Pros &amp; cons of umbrellas</v>
      </c>
      <c r="F28" s="28"/>
      <c r="G28" s="29"/>
      <c r="H28" s="35"/>
      <c r="I28" s="29"/>
      <c r="J28" s="30"/>
      <c r="K28" s="29"/>
      <c r="L28" s="30"/>
      <c r="M28" s="30"/>
      <c r="N28" s="30"/>
      <c r="O28" s="29"/>
      <c r="P28" s="29"/>
    </row>
    <row r="29" spans="1:16" ht="33.75" customHeight="1" x14ac:dyDescent="0.2">
      <c r="A29" s="10" t="s">
        <v>63</v>
      </c>
      <c r="B29" s="13" t="s">
        <v>23</v>
      </c>
      <c r="C29" s="13" t="s">
        <v>64</v>
      </c>
      <c r="D29" s="15" t="str">
        <f>HYPERLINK("https://andrewskurka.com/2017/review-rei-quarter-zip-fleece-pullover-benchmark/","REI Quarter-zip Fleece Pullover")</f>
        <v>REI Quarter-zip Fleece Pullover</v>
      </c>
      <c r="E29" s="15" t="str">
        <f>HYPERLINK("http://andrewskurka.com/2015/backpacking-clothing-go-suit-fleece-top/","Core 13 Clothing: Fleece Top")</f>
        <v>Core 13 Clothing: Fleece Top</v>
      </c>
      <c r="F29" s="28"/>
      <c r="G29" s="29"/>
      <c r="H29" s="35"/>
      <c r="I29" s="29"/>
      <c r="J29" s="30"/>
      <c r="K29" s="29"/>
      <c r="L29" s="30"/>
      <c r="M29" s="30"/>
      <c r="N29" s="30"/>
      <c r="O29" s="29"/>
      <c r="P29" s="29"/>
    </row>
    <row r="30" spans="1:16" ht="33.75" customHeight="1" x14ac:dyDescent="0.2">
      <c r="A30" s="10" t="s">
        <v>65</v>
      </c>
      <c r="B30" s="13" t="s">
        <v>23</v>
      </c>
      <c r="C30" s="13" t="s">
        <v>66</v>
      </c>
      <c r="D30" s="15" t="str">
        <f>HYPERLINK("https://goo.gl/AzgRhv","Montane Terra Pack Pants")</f>
        <v>Montane Terra Pack Pants</v>
      </c>
      <c r="E30" s="15" t="str">
        <f>HYPERLINK("http://andrewskurka.com/2015/core-clothing-go-suit-pants-underwear/","Core 13 Clothing: Pants &amp; underwear")</f>
        <v>Core 13 Clothing: Pants &amp; underwear</v>
      </c>
      <c r="F30" s="28"/>
      <c r="G30" s="29"/>
      <c r="H30" s="35"/>
      <c r="I30" s="29"/>
      <c r="J30" s="30"/>
      <c r="K30" s="29"/>
      <c r="L30" s="30"/>
      <c r="M30" s="30"/>
      <c r="N30" s="30"/>
      <c r="O30" s="29"/>
      <c r="P30" s="29"/>
    </row>
    <row r="31" spans="1:16" ht="33.75" customHeight="1" x14ac:dyDescent="0.2">
      <c r="A31" s="22" t="s">
        <v>67</v>
      </c>
      <c r="B31" s="13" t="s">
        <v>23</v>
      </c>
      <c r="C31" s="13" t="s">
        <v>68</v>
      </c>
      <c r="D31" s="15" t="str">
        <f>HYPERLINK("http://amzn.to/2emRWcJ","DeFeet Duraglove")</f>
        <v>DeFeet Duraglove</v>
      </c>
      <c r="E31" s="13" t="s">
        <v>27</v>
      </c>
      <c r="F31" s="28"/>
      <c r="G31" s="29"/>
      <c r="H31" s="35"/>
      <c r="I31" s="29"/>
      <c r="J31" s="30"/>
      <c r="K31" s="29"/>
      <c r="L31" s="30"/>
      <c r="M31" s="30"/>
      <c r="N31" s="30"/>
      <c r="O31" s="29"/>
      <c r="P31" s="29"/>
    </row>
    <row r="32" spans="1:16" ht="33.75" customHeight="1" x14ac:dyDescent="0.2">
      <c r="A32" s="10" t="s">
        <v>69</v>
      </c>
      <c r="B32" s="13" t="s">
        <v>23</v>
      </c>
      <c r="C32" s="13" t="s">
        <v>70</v>
      </c>
      <c r="D32" s="15" t="str">
        <f>HYPERLINK("https://www.outsideonline.com/2270896/review-showa-281-and-282-gloves","Showa 281 or 282")</f>
        <v>Showa 281 or 282</v>
      </c>
      <c r="E32" s="15" t="str">
        <f>HYPERLINK("https://andrewskurka.com/2017/experimental-handwear-cold-and-wet-conditions/","Handwear for cold-and-wet")</f>
        <v>Handwear for cold-and-wet</v>
      </c>
      <c r="F32" s="20"/>
      <c r="G32" s="13"/>
      <c r="H32" s="23"/>
      <c r="I32" s="13"/>
      <c r="J32" s="21"/>
      <c r="K32" s="13"/>
      <c r="L32" s="21"/>
      <c r="M32" s="21"/>
      <c r="N32" s="21"/>
      <c r="O32" s="13"/>
      <c r="P32" s="13"/>
    </row>
    <row r="33" spans="1:16" ht="33.75" customHeight="1" x14ac:dyDescent="0.2">
      <c r="A33" s="22" t="s">
        <v>71</v>
      </c>
      <c r="B33" s="13" t="s">
        <v>23</v>
      </c>
      <c r="C33" s="13" t="s">
        <v>72</v>
      </c>
      <c r="D33" s="15" t="str">
        <f>HYPERLINK("https://goo.gl/jyRCaK","Buff Original")</f>
        <v>Buff Original</v>
      </c>
      <c r="E33" s="13" t="s">
        <v>27</v>
      </c>
      <c r="F33" s="28"/>
      <c r="G33" s="29"/>
      <c r="H33" s="35"/>
      <c r="I33" s="29"/>
      <c r="J33" s="30"/>
      <c r="K33" s="29"/>
      <c r="L33" s="30"/>
      <c r="M33" s="30"/>
      <c r="N33" s="30"/>
      <c r="O33" s="29"/>
      <c r="P33" s="29"/>
    </row>
    <row r="34" spans="1:16" ht="33.75" customHeight="1" x14ac:dyDescent="0.2">
      <c r="A34" s="24"/>
      <c r="B34" s="25"/>
      <c r="C34" s="25"/>
      <c r="D34" s="25"/>
      <c r="E34" s="25"/>
      <c r="F34" s="26"/>
      <c r="G34" s="31" t="s">
        <v>48</v>
      </c>
      <c r="H34" s="32">
        <f>SUM(H26:H33)</f>
        <v>0</v>
      </c>
      <c r="I34" s="25"/>
      <c r="J34" s="27"/>
      <c r="K34" s="25"/>
      <c r="L34" s="27"/>
      <c r="M34" s="27"/>
      <c r="N34" s="27"/>
      <c r="O34" s="25"/>
      <c r="P34" s="25"/>
    </row>
    <row r="35" spans="1:16" ht="15.75" customHeight="1" x14ac:dyDescent="0.2">
      <c r="A35" s="24"/>
      <c r="B35" s="25"/>
      <c r="C35" s="25"/>
      <c r="D35" s="25"/>
      <c r="E35" s="25"/>
      <c r="F35" s="26"/>
      <c r="G35" s="33"/>
      <c r="H35" s="34"/>
      <c r="I35" s="25"/>
      <c r="J35" s="27"/>
      <c r="K35" s="25"/>
      <c r="L35" s="27"/>
      <c r="M35" s="27"/>
      <c r="N35" s="27"/>
      <c r="O35" s="25"/>
      <c r="P35" s="25"/>
    </row>
    <row r="36" spans="1:16" ht="26.25" customHeight="1" x14ac:dyDescent="0.2">
      <c r="A36" s="1" t="s">
        <v>73</v>
      </c>
      <c r="B36" s="2"/>
      <c r="C36" s="2"/>
      <c r="D36" s="2"/>
      <c r="E36" s="5"/>
      <c r="F36" s="3" t="str">
        <f>A36</f>
        <v>CLOTHING: STOP &amp; SLEEP</v>
      </c>
      <c r="G36" s="9"/>
      <c r="H36" s="11"/>
      <c r="I36" s="9"/>
      <c r="J36" s="4"/>
      <c r="K36" s="9"/>
      <c r="L36" s="4"/>
      <c r="M36" s="4"/>
      <c r="N36" s="4"/>
      <c r="O36" s="9"/>
      <c r="P36" s="12"/>
    </row>
    <row r="37" spans="1:16" ht="26.25" customHeight="1" x14ac:dyDescent="0.2">
      <c r="A37" s="6" t="s">
        <v>1</v>
      </c>
      <c r="B37" s="6" t="s">
        <v>5</v>
      </c>
      <c r="C37" s="6" t="s">
        <v>3</v>
      </c>
      <c r="D37" s="6" t="s">
        <v>4</v>
      </c>
      <c r="E37" s="6" t="s">
        <v>9</v>
      </c>
      <c r="F37" s="7" t="s">
        <v>5</v>
      </c>
      <c r="G37" s="8" t="s">
        <v>10</v>
      </c>
      <c r="H37" s="14" t="s">
        <v>11</v>
      </c>
      <c r="I37" s="8" t="s">
        <v>13</v>
      </c>
      <c r="J37" s="7" t="s">
        <v>14</v>
      </c>
      <c r="K37" s="8" t="s">
        <v>15</v>
      </c>
      <c r="L37" s="7" t="s">
        <v>16</v>
      </c>
      <c r="M37" s="7" t="s">
        <v>17</v>
      </c>
      <c r="N37" s="8" t="s">
        <v>6</v>
      </c>
      <c r="O37" s="8" t="s">
        <v>18</v>
      </c>
      <c r="P37" s="8" t="s">
        <v>19</v>
      </c>
    </row>
    <row r="38" spans="1:16" ht="33.75" customHeight="1" x14ac:dyDescent="0.2">
      <c r="A38" s="22" t="s">
        <v>74</v>
      </c>
      <c r="B38" s="13" t="s">
        <v>23</v>
      </c>
      <c r="C38" s="13" t="s">
        <v>75</v>
      </c>
      <c r="D38" s="15" t="str">
        <f>HYPERLINK("https://www.montbell.us/products/disp.php?cat_id=25010&amp;p_id=2301237&amp;gen_cd=1","Montbell Superior Down Parka")</f>
        <v>Montbell Superior Down Parka</v>
      </c>
      <c r="E38" s="15" t="str">
        <f>HYPERLINK("http://andrewskurka.com/2015/insulation-geekiness-specs-pros-cons-optimal-uses-sd-live-september-8-2015/","Insulation Geekiness - SD Live")</f>
        <v>Insulation Geekiness - SD Live</v>
      </c>
      <c r="F38" s="28"/>
      <c r="G38" s="29"/>
      <c r="H38" s="35"/>
      <c r="I38" s="29"/>
      <c r="J38" s="30"/>
      <c r="K38" s="29"/>
      <c r="L38" s="30"/>
      <c r="M38" s="30"/>
      <c r="N38" s="30"/>
      <c r="O38" s="29"/>
      <c r="P38" s="29"/>
    </row>
    <row r="39" spans="1:16" ht="33.75" customHeight="1" x14ac:dyDescent="0.2">
      <c r="A39" s="22" t="s">
        <v>76</v>
      </c>
      <c r="B39" s="13" t="s">
        <v>23</v>
      </c>
      <c r="C39" s="13" t="s">
        <v>77</v>
      </c>
      <c r="D39" s="15" t="str">
        <f>HYPERLINK("http://goo.gl/DYpoJR","WM Flash Pants")</f>
        <v>WM Flash Pants</v>
      </c>
      <c r="E39" s="15" t="str">
        <f>HYPERLINK("http://andrewskurka.com/2015/backpacking-clothing-stop-insulated-jacket-pants/","Core 13: Puffy Jacket &amp; Pants")</f>
        <v>Core 13: Puffy Jacket &amp; Pants</v>
      </c>
      <c r="F39" s="28"/>
      <c r="G39" s="29"/>
      <c r="H39" s="35"/>
      <c r="I39" s="29"/>
      <c r="J39" s="30"/>
      <c r="K39" s="29"/>
      <c r="L39" s="30"/>
      <c r="M39" s="30"/>
      <c r="N39" s="30"/>
      <c r="O39" s="29"/>
      <c r="P39" s="29"/>
    </row>
    <row r="40" spans="1:16" ht="42.75" customHeight="1" x14ac:dyDescent="0.2">
      <c r="A40" s="10" t="s">
        <v>79</v>
      </c>
      <c r="B40" s="13" t="s">
        <v>23</v>
      </c>
      <c r="C40" s="13" t="s">
        <v>80</v>
      </c>
      <c r="D40" s="15" t="str">
        <f>HYPERLINK("https://goo.gl/dsKxms","Patagonia Women's Active Briefs")</f>
        <v>Patagonia Women's Active Briefs</v>
      </c>
      <c r="E40" s="18" t="s">
        <v>27</v>
      </c>
      <c r="F40" s="28"/>
      <c r="G40" s="29"/>
      <c r="H40" s="35"/>
      <c r="I40" s="29"/>
      <c r="J40" s="30"/>
      <c r="K40" s="29"/>
      <c r="L40" s="30"/>
      <c r="M40" s="30"/>
      <c r="N40" s="30"/>
      <c r="O40" s="29"/>
      <c r="P40" s="29"/>
    </row>
    <row r="41" spans="1:16" ht="33.75" customHeight="1" x14ac:dyDescent="0.2">
      <c r="A41" s="10" t="s">
        <v>81</v>
      </c>
      <c r="B41" s="13" t="s">
        <v>23</v>
      </c>
      <c r="C41" s="13" t="s">
        <v>82</v>
      </c>
      <c r="D41" s="15" t="str">
        <f>HYPERLINK("https://goo.gl/7BbY46","Brooks Fiona Sports Bra")</f>
        <v>Brooks Fiona Sports Bra</v>
      </c>
      <c r="E41" s="13" t="s">
        <v>27</v>
      </c>
      <c r="F41" s="28"/>
      <c r="G41" s="29"/>
      <c r="H41" s="35"/>
      <c r="I41" s="29"/>
      <c r="J41" s="30"/>
      <c r="K41" s="29"/>
      <c r="L41" s="30"/>
      <c r="M41" s="30"/>
      <c r="N41" s="30"/>
      <c r="O41" s="29"/>
      <c r="P41" s="29"/>
    </row>
    <row r="42" spans="1:16" ht="33.75" customHeight="1" x14ac:dyDescent="0.2">
      <c r="A42" s="22" t="s">
        <v>83</v>
      </c>
      <c r="B42" s="13" t="s">
        <v>23</v>
      </c>
      <c r="C42" s="13" t="s">
        <v>84</v>
      </c>
      <c r="D42" s="15" t="str">
        <f>HYPERLINK("https://goo.gl/XfJoR3","REI Co-op Sahara L/S Shirt")</f>
        <v>REI Co-op Sahara L/S Shirt</v>
      </c>
      <c r="E42" s="15" t="str">
        <f>HYPERLINK("http://andrewskurka.com/2015/backpacking-clothing-sleeping-clothes/","Core 13 Clothing: Sleeping Top")</f>
        <v>Core 13 Clothing: Sleeping Top</v>
      </c>
      <c r="F42" s="28"/>
      <c r="G42" s="29"/>
      <c r="H42" s="35"/>
      <c r="I42" s="29"/>
      <c r="J42" s="30"/>
      <c r="K42" s="29"/>
      <c r="L42" s="30"/>
      <c r="M42" s="30"/>
      <c r="N42" s="30"/>
      <c r="O42" s="29"/>
      <c r="P42" s="29"/>
    </row>
    <row r="43" spans="1:16" ht="33.75" customHeight="1" x14ac:dyDescent="0.2">
      <c r="A43" s="22" t="s">
        <v>85</v>
      </c>
      <c r="B43" s="13" t="s">
        <v>23</v>
      </c>
      <c r="C43" s="13" t="s">
        <v>55</v>
      </c>
      <c r="D43" s="15" t="str">
        <f>HYPERLINK("http://amzn.to/2ndHyb5","Champion Powerflex Tight")</f>
        <v>Champion Powerflex Tight</v>
      </c>
      <c r="E43" s="15" t="str">
        <f>HYPERLINK("http://andrewskurka.com/2015/backpacking-clothing-sleeping-clothes/","Core 13 Clothing: Sleeping Bottoms")</f>
        <v>Core 13 Clothing: Sleeping Bottoms</v>
      </c>
      <c r="F43" s="28"/>
      <c r="G43" s="29"/>
      <c r="H43" s="35"/>
      <c r="I43" s="29"/>
      <c r="J43" s="30"/>
      <c r="K43" s="29"/>
      <c r="L43" s="30"/>
      <c r="M43" s="30"/>
      <c r="N43" s="30"/>
      <c r="O43" s="29"/>
      <c r="P43" s="29"/>
    </row>
    <row r="44" spans="1:16" ht="33.75" customHeight="1" x14ac:dyDescent="0.2">
      <c r="A44" s="37"/>
      <c r="B44" s="37"/>
      <c r="C44" s="37"/>
      <c r="D44" s="37"/>
      <c r="E44" s="37"/>
      <c r="F44" s="38"/>
      <c r="G44" s="39" t="s">
        <v>48</v>
      </c>
      <c r="H44" s="40">
        <f>SUM(H38:H43)</f>
        <v>0</v>
      </c>
      <c r="I44" s="37"/>
      <c r="J44" s="37"/>
      <c r="K44" s="37"/>
      <c r="L44" s="37"/>
      <c r="M44" s="37"/>
      <c r="N44" s="37"/>
      <c r="O44" s="37"/>
      <c r="P44" s="37"/>
    </row>
    <row r="45" spans="1:16" ht="15.75" customHeight="1" x14ac:dyDescent="0.2">
      <c r="A45" s="24"/>
      <c r="B45" s="25"/>
      <c r="C45" s="25"/>
      <c r="D45" s="25"/>
      <c r="E45" s="25"/>
      <c r="F45" s="26"/>
      <c r="G45" s="33"/>
      <c r="H45" s="34"/>
      <c r="I45" s="25"/>
      <c r="J45" s="27"/>
      <c r="K45" s="25"/>
      <c r="L45" s="27"/>
      <c r="M45" s="27"/>
      <c r="N45" s="27"/>
      <c r="O45" s="25"/>
      <c r="P45" s="25"/>
    </row>
    <row r="46" spans="1:16" ht="26.25" customHeight="1" x14ac:dyDescent="0.2">
      <c r="A46" s="1" t="s">
        <v>86</v>
      </c>
      <c r="B46" s="2"/>
      <c r="C46" s="2"/>
      <c r="D46" s="2"/>
      <c r="E46" s="5"/>
      <c r="F46" s="3" t="str">
        <f>A46</f>
        <v>PACKING</v>
      </c>
      <c r="G46" s="9"/>
      <c r="H46" s="11"/>
      <c r="I46" s="9"/>
      <c r="J46" s="4"/>
      <c r="K46" s="9"/>
      <c r="L46" s="4"/>
      <c r="M46" s="4"/>
      <c r="N46" s="4"/>
      <c r="O46" s="9"/>
      <c r="P46" s="12"/>
    </row>
    <row r="47" spans="1:16" ht="26.25" customHeight="1" x14ac:dyDescent="0.2">
      <c r="A47" s="6" t="s">
        <v>1</v>
      </c>
      <c r="B47" s="6" t="s">
        <v>5</v>
      </c>
      <c r="C47" s="6" t="s">
        <v>3</v>
      </c>
      <c r="D47" s="6" t="s">
        <v>4</v>
      </c>
      <c r="E47" s="6" t="s">
        <v>9</v>
      </c>
      <c r="F47" s="7" t="s">
        <v>5</v>
      </c>
      <c r="G47" s="8" t="s">
        <v>10</v>
      </c>
      <c r="H47" s="14" t="s">
        <v>11</v>
      </c>
      <c r="I47" s="8" t="s">
        <v>13</v>
      </c>
      <c r="J47" s="7" t="s">
        <v>14</v>
      </c>
      <c r="K47" s="8" t="s">
        <v>15</v>
      </c>
      <c r="L47" s="7" t="s">
        <v>16</v>
      </c>
      <c r="M47" s="7" t="s">
        <v>17</v>
      </c>
      <c r="N47" s="8" t="s">
        <v>6</v>
      </c>
      <c r="O47" s="8" t="s">
        <v>18</v>
      </c>
      <c r="P47" s="8" t="s">
        <v>19</v>
      </c>
    </row>
    <row r="48" spans="1:16" ht="33.75" customHeight="1" x14ac:dyDescent="0.2">
      <c r="A48" s="22" t="s">
        <v>87</v>
      </c>
      <c r="B48" s="13" t="s">
        <v>8</v>
      </c>
      <c r="C48" s="13" t="s">
        <v>88</v>
      </c>
      <c r="D48" s="15" t="str">
        <f>HYPERLINK("http://andrewskurka.com/tag/flex-capacitor-pack/","Sierra Designs Flex Capacitor 40-60 Pack")</f>
        <v>Sierra Designs Flex Capacitor 40-60 Pack</v>
      </c>
      <c r="E48" s="15" t="str">
        <f>HYPERLINK("https://andrewskurka.com/2016/how-to-pack-a-backpack-load-distribution-organization-canisters-video/","Tutorial: How to pack a backpack")</f>
        <v>Tutorial: How to pack a backpack</v>
      </c>
      <c r="F48" s="28"/>
      <c r="G48" s="29"/>
      <c r="H48" s="35"/>
      <c r="I48" s="29"/>
      <c r="J48" s="30"/>
      <c r="K48" s="29"/>
      <c r="L48" s="30"/>
      <c r="M48" s="30"/>
      <c r="N48" s="30"/>
      <c r="O48" s="29"/>
      <c r="P48" s="29"/>
    </row>
    <row r="49" spans="1:16" ht="33.75" customHeight="1" x14ac:dyDescent="0.2">
      <c r="A49" s="10" t="s">
        <v>89</v>
      </c>
      <c r="B49" s="13" t="s">
        <v>23</v>
      </c>
      <c r="C49" s="13" t="s">
        <v>90</v>
      </c>
      <c r="D49" s="15" t="str">
        <f>HYPERLINK("http://amzn.to/1qH6A04","Brute Super Tuff Bags 20-gallon")</f>
        <v>Brute Super Tuff Bags 20-gallon</v>
      </c>
      <c r="E49" s="13" t="s">
        <v>27</v>
      </c>
      <c r="F49" s="28"/>
      <c r="G49" s="29"/>
      <c r="H49" s="35"/>
      <c r="I49" s="29"/>
      <c r="J49" s="30"/>
      <c r="K49" s="29"/>
      <c r="L49" s="30"/>
      <c r="M49" s="30"/>
      <c r="N49" s="30"/>
      <c r="O49" s="29"/>
      <c r="P49" s="29"/>
    </row>
    <row r="50" spans="1:16" ht="33.75" customHeight="1" x14ac:dyDescent="0.2">
      <c r="A50" s="10" t="s">
        <v>91</v>
      </c>
      <c r="B50" s="13" t="s">
        <v>29</v>
      </c>
      <c r="C50" s="13" t="s">
        <v>92</v>
      </c>
      <c r="D50" s="15" t="str">
        <f>HYPERLINK("https://amzn.to/2O2tKLb","Ziploc Slider Bag - Freezer Quart-sized")</f>
        <v>Ziploc Slider Bag - Freezer Quart-sized</v>
      </c>
      <c r="E50" s="15" t="str">
        <f>HYPERLINK("https://www.outsideonline.com/2337566/backpacking-food-basics","Backpacking food basics")</f>
        <v>Backpacking food basics</v>
      </c>
      <c r="F50" s="28"/>
      <c r="G50" s="29"/>
      <c r="H50" s="35"/>
      <c r="I50" s="29"/>
      <c r="J50" s="30"/>
      <c r="K50" s="29"/>
      <c r="L50" s="30"/>
      <c r="M50" s="30"/>
      <c r="N50" s="30"/>
      <c r="O50" s="29"/>
      <c r="P50" s="29"/>
    </row>
    <row r="51" spans="1:16" ht="33.75" customHeight="1" x14ac:dyDescent="0.2">
      <c r="A51" s="10" t="s">
        <v>93</v>
      </c>
      <c r="B51" s="13" t="s">
        <v>23</v>
      </c>
      <c r="C51" s="13" t="s">
        <v>94</v>
      </c>
      <c r="D51" s="15" t="str">
        <f>HYPERLINK("https://andrewskurka.com/2019/long-term-review-loksak-opsak-food-bag/","LOKSAK OPSAK - 21x12")</f>
        <v>LOKSAK OPSAK - 21x12</v>
      </c>
      <c r="E51" s="15" t="str">
        <f>HYPERLINK("https://andrewskurka.com/2018/tutorial-food-storage-protection-methods-bears-rodents/","Tutorial: Food storage &amp; protection")</f>
        <v>Tutorial: Food storage &amp; protection</v>
      </c>
      <c r="F51" s="28"/>
      <c r="G51" s="29"/>
      <c r="H51" s="35"/>
      <c r="I51" s="29"/>
      <c r="J51" s="30"/>
      <c r="K51" s="29"/>
      <c r="L51" s="30"/>
      <c r="M51" s="30"/>
      <c r="N51" s="30"/>
      <c r="O51" s="29"/>
      <c r="P51" s="29"/>
    </row>
    <row r="52" spans="1:16" ht="33.75" customHeight="1" x14ac:dyDescent="0.2">
      <c r="A52" s="10" t="s">
        <v>95</v>
      </c>
      <c r="B52" s="13" t="s">
        <v>23</v>
      </c>
      <c r="C52" s="13" t="s">
        <v>96</v>
      </c>
      <c r="D52" s="15" t="str">
        <f>HYPERLINK("http://amzn.to/2foDxcI","Bear Vault BV500")</f>
        <v>Bear Vault BV500</v>
      </c>
      <c r="E52" s="15" t="str">
        <f>HYPERLINK("https://andrewskurka.com/2018/food-bear-canisters-guide-approved-volume-cost/","Buyers Guide: Bear Canisters")</f>
        <v>Buyers Guide: Bear Canisters</v>
      </c>
      <c r="F52" s="28"/>
      <c r="G52" s="29"/>
      <c r="H52" s="35"/>
      <c r="I52" s="29"/>
      <c r="J52" s="30"/>
      <c r="K52" s="29"/>
      <c r="L52" s="30"/>
      <c r="M52" s="30"/>
      <c r="N52" s="30"/>
      <c r="O52" s="29"/>
      <c r="P52" s="29"/>
    </row>
    <row r="53" spans="1:16" ht="33.75" customHeight="1" x14ac:dyDescent="0.2">
      <c r="A53" s="22" t="s">
        <v>97</v>
      </c>
      <c r="B53" s="13" t="s">
        <v>29</v>
      </c>
      <c r="C53" s="13" t="s">
        <v>98</v>
      </c>
      <c r="D53" s="15" t="str">
        <f>HYPERLINK("http://goo.gl/YwO2IN","Granite Gear Toughsacks")</f>
        <v>Granite Gear Toughsacks</v>
      </c>
      <c r="E53" s="13" t="s">
        <v>27</v>
      </c>
      <c r="F53" s="28"/>
      <c r="G53" s="29"/>
      <c r="H53" s="35"/>
      <c r="I53" s="29"/>
      <c r="J53" s="30"/>
      <c r="K53" s="29"/>
      <c r="L53" s="30"/>
      <c r="M53" s="30"/>
      <c r="N53" s="30"/>
      <c r="O53" s="29"/>
      <c r="P53" s="29"/>
    </row>
    <row r="54" spans="1:16" ht="33.75" customHeight="1" x14ac:dyDescent="0.2">
      <c r="A54" s="22" t="s">
        <v>99</v>
      </c>
      <c r="B54" s="13" t="s">
        <v>29</v>
      </c>
      <c r="C54" s="13" t="s">
        <v>100</v>
      </c>
      <c r="D54" s="18" t="s">
        <v>101</v>
      </c>
      <c r="E54" s="13" t="s">
        <v>27</v>
      </c>
      <c r="F54" s="28"/>
      <c r="G54" s="29"/>
      <c r="H54" s="35"/>
      <c r="I54" s="29"/>
      <c r="J54" s="30"/>
      <c r="K54" s="29"/>
      <c r="L54" s="30"/>
      <c r="M54" s="30"/>
      <c r="N54" s="30"/>
      <c r="O54" s="29"/>
      <c r="P54" s="29"/>
    </row>
    <row r="55" spans="1:16" ht="33.75" customHeight="1" x14ac:dyDescent="0.2">
      <c r="A55" s="37"/>
      <c r="B55" s="37"/>
      <c r="C55" s="37"/>
      <c r="D55" s="37"/>
      <c r="E55" s="37"/>
      <c r="F55" s="38"/>
      <c r="G55" s="39" t="s">
        <v>48</v>
      </c>
      <c r="H55" s="40">
        <f>SUM(H48:H54)</f>
        <v>0</v>
      </c>
      <c r="I55" s="37"/>
      <c r="J55" s="37"/>
      <c r="K55" s="37"/>
      <c r="L55" s="37"/>
      <c r="M55" s="37"/>
      <c r="N55" s="37"/>
      <c r="O55" s="37"/>
      <c r="P55" s="37"/>
    </row>
    <row r="56" spans="1:16" ht="15.75" customHeight="1" x14ac:dyDescent="0.2">
      <c r="A56" s="24"/>
      <c r="B56" s="25"/>
      <c r="C56" s="25"/>
      <c r="D56" s="25"/>
      <c r="E56" s="25"/>
      <c r="F56" s="26"/>
      <c r="G56" s="33"/>
      <c r="H56" s="34"/>
      <c r="I56" s="25"/>
      <c r="J56" s="27"/>
      <c r="K56" s="25"/>
      <c r="L56" s="27"/>
      <c r="M56" s="27"/>
      <c r="N56" s="27"/>
      <c r="O56" s="25"/>
      <c r="P56" s="25"/>
    </row>
    <row r="57" spans="1:16" ht="26.25" customHeight="1" x14ac:dyDescent="0.2">
      <c r="A57" s="1" t="s">
        <v>102</v>
      </c>
      <c r="B57" s="2"/>
      <c r="C57" s="2"/>
      <c r="D57" s="2"/>
      <c r="E57" s="5"/>
      <c r="F57" s="3" t="str">
        <f>A57</f>
        <v>SHELTER</v>
      </c>
      <c r="G57" s="9"/>
      <c r="H57" s="11"/>
      <c r="I57" s="9"/>
      <c r="J57" s="4"/>
      <c r="K57" s="9"/>
      <c r="L57" s="4"/>
      <c r="M57" s="4"/>
      <c r="N57" s="4"/>
      <c r="O57" s="9"/>
      <c r="P57" s="12"/>
    </row>
    <row r="58" spans="1:16" ht="26.25" customHeight="1" x14ac:dyDescent="0.2">
      <c r="A58" s="6" t="s">
        <v>1</v>
      </c>
      <c r="B58" s="6" t="s">
        <v>5</v>
      </c>
      <c r="C58" s="6" t="s">
        <v>3</v>
      </c>
      <c r="D58" s="6" t="s">
        <v>4</v>
      </c>
      <c r="E58" s="6" t="s">
        <v>9</v>
      </c>
      <c r="F58" s="7" t="s">
        <v>5</v>
      </c>
      <c r="G58" s="8" t="s">
        <v>10</v>
      </c>
      <c r="H58" s="14" t="s">
        <v>11</v>
      </c>
      <c r="I58" s="8" t="s">
        <v>13</v>
      </c>
      <c r="J58" s="7" t="s">
        <v>14</v>
      </c>
      <c r="K58" s="8" t="s">
        <v>15</v>
      </c>
      <c r="L58" s="7" t="s">
        <v>16</v>
      </c>
      <c r="M58" s="7" t="s">
        <v>17</v>
      </c>
      <c r="N58" s="8" t="s">
        <v>6</v>
      </c>
      <c r="O58" s="8" t="s">
        <v>18</v>
      </c>
      <c r="P58" s="8" t="s">
        <v>19</v>
      </c>
    </row>
    <row r="59" spans="1:16" ht="33.75" customHeight="1" x14ac:dyDescent="0.2">
      <c r="A59" s="22" t="s">
        <v>103</v>
      </c>
      <c r="B59" s="13" t="s">
        <v>29</v>
      </c>
      <c r="C59" s="13" t="s">
        <v>104</v>
      </c>
      <c r="D59" s="15" t="str">
        <f>HYPERLINK("http://andrewskurka.com/tag/high-route-tent/","Sierra Designs High Route 1FL Tent (fly)")</f>
        <v>Sierra Designs High Route 1FL Tent (fly)</v>
      </c>
      <c r="E59" s="15" t="str">
        <f>HYPERLINK("http://andrewskurka.com/2016/buyers-guide-my-go-to-backpacking-tent-tarp-hammock-bivy-systems/","Guide: Tents, Tarps, Hammocks")</f>
        <v>Guide: Tents, Tarps, Hammocks</v>
      </c>
      <c r="F59" s="28"/>
      <c r="G59" s="29"/>
      <c r="H59" s="35"/>
      <c r="I59" s="29"/>
      <c r="J59" s="30"/>
      <c r="K59" s="29"/>
      <c r="L59" s="30"/>
      <c r="M59" s="30"/>
      <c r="N59" s="30"/>
      <c r="O59" s="29"/>
      <c r="P59" s="29"/>
    </row>
    <row r="60" spans="1:16" ht="33.75" customHeight="1" x14ac:dyDescent="0.2">
      <c r="A60" s="10" t="s">
        <v>105</v>
      </c>
      <c r="B60" s="13" t="s">
        <v>23</v>
      </c>
      <c r="C60" s="13" t="s">
        <v>106</v>
      </c>
      <c r="D60" s="18" t="s">
        <v>107</v>
      </c>
      <c r="E60" s="15" t="str">
        <f>HYPERLINK("https://andrewskurka.com/tag/five-star-campsite-selection/","Tutorial: Find 5-star campsites")</f>
        <v>Tutorial: Find 5-star campsites</v>
      </c>
      <c r="F60" s="28"/>
      <c r="G60" s="29"/>
      <c r="H60" s="35"/>
      <c r="I60" s="29"/>
      <c r="J60" s="30"/>
      <c r="K60" s="29"/>
      <c r="L60" s="30"/>
      <c r="M60" s="30"/>
      <c r="N60" s="30"/>
      <c r="O60" s="29"/>
      <c r="P60" s="29"/>
    </row>
    <row r="61" spans="1:16" ht="33.75" customHeight="1" x14ac:dyDescent="0.2">
      <c r="A61" s="10" t="s">
        <v>108</v>
      </c>
      <c r="B61" s="13" t="s">
        <v>23</v>
      </c>
      <c r="C61" s="13" t="s">
        <v>109</v>
      </c>
      <c r="D61" s="15" t="str">
        <f>HYPERLINK("https://goo.gl/4ths5R","SOL Emergency Blanket")</f>
        <v>SOL Emergency Blanket</v>
      </c>
      <c r="E61" s="13" t="s">
        <v>27</v>
      </c>
      <c r="F61" s="28"/>
      <c r="G61" s="29"/>
      <c r="H61" s="35"/>
      <c r="I61" s="29"/>
      <c r="J61" s="30"/>
      <c r="K61" s="29"/>
      <c r="L61" s="30"/>
      <c r="M61" s="30"/>
      <c r="N61" s="30"/>
      <c r="O61" s="29"/>
      <c r="P61" s="29"/>
    </row>
    <row r="62" spans="1:16" ht="33.75" customHeight="1" x14ac:dyDescent="0.2">
      <c r="A62" s="10" t="s">
        <v>110</v>
      </c>
      <c r="B62" s="13" t="s">
        <v>23</v>
      </c>
      <c r="C62" s="13" t="s">
        <v>111</v>
      </c>
      <c r="D62" s="13" t="s">
        <v>112</v>
      </c>
      <c r="E62" s="13" t="s">
        <v>27</v>
      </c>
      <c r="F62" s="28"/>
      <c r="G62" s="29"/>
      <c r="H62" s="35"/>
      <c r="I62" s="29"/>
      <c r="J62" s="30"/>
      <c r="K62" s="29"/>
      <c r="L62" s="30"/>
      <c r="M62" s="30"/>
      <c r="N62" s="30"/>
      <c r="O62" s="29"/>
      <c r="P62" s="29"/>
    </row>
    <row r="63" spans="1:16" ht="33.75" customHeight="1" x14ac:dyDescent="0.2">
      <c r="A63" s="10" t="s">
        <v>113</v>
      </c>
      <c r="B63" s="13" t="s">
        <v>8</v>
      </c>
      <c r="C63" s="13" t="s">
        <v>114</v>
      </c>
      <c r="D63" s="15" t="str">
        <f>HYPERLINK("http://goo.gl/PxRV0P","PMI 2mm Utility Cord")</f>
        <v>PMI 2mm Utility Cord</v>
      </c>
      <c r="E63" s="15" t="str">
        <f>HYPERLINK("http://andrewskurka.com/2016/guyline-tension-system-backpacking-tents-tarps-hammocks/","My Guyline System for tents &amp; tarps")</f>
        <v>My Guyline System for tents &amp; tarps</v>
      </c>
      <c r="F63" s="28"/>
      <c r="G63" s="29"/>
      <c r="H63" s="35"/>
      <c r="I63" s="29"/>
      <c r="J63" s="30"/>
      <c r="K63" s="29"/>
      <c r="L63" s="30"/>
      <c r="M63" s="30"/>
      <c r="N63" s="30"/>
      <c r="O63" s="29"/>
      <c r="P63" s="29"/>
    </row>
    <row r="64" spans="1:16" ht="33.75" customHeight="1" x14ac:dyDescent="0.2">
      <c r="A64" s="22" t="s">
        <v>115</v>
      </c>
      <c r="B64" s="13" t="s">
        <v>8</v>
      </c>
      <c r="C64" s="13" t="s">
        <v>116</v>
      </c>
      <c r="D64" s="15" t="str">
        <f>HYPERLINK("http://amzn.to/2bBR3b0","Kungix Y-stakes, 7-in")</f>
        <v>Kungix Y-stakes, 7-in</v>
      </c>
      <c r="E64" s="15" t="str">
        <f>HYPERLINK("http://andrewskurka.com/2016/top-picks-stakes-guylines-for-backpacking-tents-tarps-hammocks/","My picks: Stakes &amp; Guylines")</f>
        <v>My picks: Stakes &amp; Guylines</v>
      </c>
      <c r="F64" s="28"/>
      <c r="G64" s="29"/>
      <c r="H64" s="35"/>
      <c r="I64" s="29"/>
      <c r="J64" s="30"/>
      <c r="K64" s="29"/>
      <c r="L64" s="30"/>
      <c r="M64" s="30"/>
      <c r="N64" s="30"/>
      <c r="O64" s="29"/>
      <c r="P64" s="29"/>
    </row>
    <row r="65" spans="1:16" ht="33.75" customHeight="1" x14ac:dyDescent="0.2">
      <c r="A65" s="37"/>
      <c r="B65" s="37"/>
      <c r="C65" s="37"/>
      <c r="D65" s="37"/>
      <c r="E65" s="37"/>
      <c r="F65" s="38"/>
      <c r="G65" s="39" t="s">
        <v>48</v>
      </c>
      <c r="H65" s="40">
        <f>SUM(H59:H64)</f>
        <v>0</v>
      </c>
      <c r="I65" s="37"/>
      <c r="J65" s="37"/>
      <c r="K65" s="37"/>
      <c r="L65" s="37"/>
      <c r="M65" s="37"/>
      <c r="N65" s="37"/>
      <c r="O65" s="37"/>
      <c r="P65" s="37"/>
    </row>
    <row r="66" spans="1:16" ht="15.75" customHeight="1" x14ac:dyDescent="0.2">
      <c r="A66" s="24"/>
      <c r="B66" s="25"/>
      <c r="C66" s="25"/>
      <c r="D66" s="25"/>
      <c r="E66" s="25"/>
      <c r="F66" s="26"/>
      <c r="G66" s="33"/>
      <c r="H66" s="34"/>
      <c r="I66" s="25"/>
      <c r="J66" s="27"/>
      <c r="K66" s="25"/>
      <c r="L66" s="27"/>
      <c r="M66" s="27"/>
      <c r="N66" s="27"/>
      <c r="O66" s="25"/>
      <c r="P66" s="25"/>
    </row>
    <row r="67" spans="1:16" ht="26.25" customHeight="1" x14ac:dyDescent="0.2">
      <c r="A67" s="1" t="s">
        <v>117</v>
      </c>
      <c r="B67" s="2"/>
      <c r="C67" s="2"/>
      <c r="D67" s="2"/>
      <c r="E67" s="5"/>
      <c r="F67" s="3" t="str">
        <f>A67</f>
        <v>SLEEP</v>
      </c>
      <c r="G67" s="9"/>
      <c r="H67" s="11"/>
      <c r="I67" s="9"/>
      <c r="J67" s="4"/>
      <c r="K67" s="9"/>
      <c r="L67" s="4"/>
      <c r="M67" s="4"/>
      <c r="N67" s="4"/>
      <c r="O67" s="9"/>
      <c r="P67" s="12"/>
    </row>
    <row r="68" spans="1:16" ht="26.25" customHeight="1" x14ac:dyDescent="0.2">
      <c r="A68" s="6" t="s">
        <v>1</v>
      </c>
      <c r="B68" s="6" t="s">
        <v>5</v>
      </c>
      <c r="C68" s="6" t="s">
        <v>3</v>
      </c>
      <c r="D68" s="6" t="s">
        <v>4</v>
      </c>
      <c r="E68" s="6" t="s">
        <v>9</v>
      </c>
      <c r="F68" s="7" t="s">
        <v>5</v>
      </c>
      <c r="G68" s="8" t="s">
        <v>10</v>
      </c>
      <c r="H68" s="14" t="s">
        <v>11</v>
      </c>
      <c r="I68" s="8" t="s">
        <v>13</v>
      </c>
      <c r="J68" s="7" t="s">
        <v>14</v>
      </c>
      <c r="K68" s="8" t="s">
        <v>15</v>
      </c>
      <c r="L68" s="7" t="s">
        <v>16</v>
      </c>
      <c r="M68" s="7" t="s">
        <v>17</v>
      </c>
      <c r="N68" s="8" t="s">
        <v>6</v>
      </c>
      <c r="O68" s="8" t="s">
        <v>18</v>
      </c>
      <c r="P68" s="8" t="s">
        <v>19</v>
      </c>
    </row>
    <row r="69" spans="1:16" ht="33.75" customHeight="1" x14ac:dyDescent="0.2">
      <c r="A69" s="22" t="s">
        <v>118</v>
      </c>
      <c r="B69" s="13" t="s">
        <v>8</v>
      </c>
      <c r="C69" s="13" t="s">
        <v>119</v>
      </c>
      <c r="D69" s="15" t="str">
        <f>HYPERLINK("https://andrewskurka.com/2017/review-sierra-designs-cloud-35-20-zipperless-mummy/","Sierra Designs Cloud 35")</f>
        <v>Sierra Designs Cloud 35</v>
      </c>
      <c r="E69" s="15" t="str">
        <f>HYPERLINK("https://andrewskurka.com/2017/down-insulation-moisture-protection-sleeping-bag-jacket/","Tutorial: Protect down from moisture")</f>
        <v>Tutorial: Protect down from moisture</v>
      </c>
      <c r="F69" s="28"/>
      <c r="G69" s="29"/>
      <c r="H69" s="35"/>
      <c r="I69" s="29"/>
      <c r="J69" s="30"/>
      <c r="K69" s="29"/>
      <c r="L69" s="30"/>
      <c r="M69" s="30"/>
      <c r="N69" s="30"/>
      <c r="O69" s="29"/>
      <c r="P69" s="29"/>
    </row>
    <row r="70" spans="1:16" ht="33.75" customHeight="1" x14ac:dyDescent="0.2">
      <c r="A70" s="10" t="s">
        <v>120</v>
      </c>
      <c r="B70" s="13" t="s">
        <v>8</v>
      </c>
      <c r="C70" s="13" t="s">
        <v>121</v>
      </c>
      <c r="D70" s="15" t="str">
        <f>HYPERLINK("https://andrewskurka.com/2018/preview-big-agnes-insulated-axl-air-pads-neoair/","Big Agnes Insulated AXL Pad")</f>
        <v>Big Agnes Insulated AXL Pad</v>
      </c>
      <c r="E70" s="15" t="str">
        <f>HYPERLINK("http://andrewskurka.com/2015/tips-for-quality-sleep-in-the-backcountry-sd-live-512/","Tips for Quality Sleep - SD LIVE")</f>
        <v>Tips for Quality Sleep - SD LIVE</v>
      </c>
      <c r="F70" s="28"/>
      <c r="G70" s="29"/>
      <c r="H70" s="35"/>
      <c r="I70" s="29"/>
      <c r="J70" s="30"/>
      <c r="K70" s="29"/>
      <c r="L70" s="30"/>
      <c r="M70" s="30"/>
      <c r="N70" s="30"/>
      <c r="O70" s="29"/>
      <c r="P70" s="29"/>
    </row>
    <row r="71" spans="1:16" ht="33.75" customHeight="1" x14ac:dyDescent="0.2">
      <c r="A71" s="10" t="s">
        <v>122</v>
      </c>
      <c r="B71" s="13" t="s">
        <v>32</v>
      </c>
      <c r="C71" s="13" t="s">
        <v>123</v>
      </c>
      <c r="D71" s="15" t="str">
        <f>HYPERLINK("https://andrewskurka.com/2018/review-sierra-designs-animas-pillow-inflatable/","Sierra Designs Animas Pillow")</f>
        <v>Sierra Designs Animas Pillow</v>
      </c>
      <c r="E71" s="13" t="s">
        <v>27</v>
      </c>
      <c r="F71" s="28"/>
      <c r="G71" s="29"/>
      <c r="H71" s="35"/>
      <c r="I71" s="29"/>
      <c r="J71" s="30"/>
      <c r="K71" s="29"/>
      <c r="L71" s="30"/>
      <c r="M71" s="30"/>
      <c r="N71" s="30"/>
      <c r="O71" s="29"/>
      <c r="P71" s="29"/>
    </row>
    <row r="72" spans="1:16" ht="33.75" customHeight="1" x14ac:dyDescent="0.2">
      <c r="A72" s="10" t="s">
        <v>234</v>
      </c>
      <c r="B72" s="13" t="s">
        <v>23</v>
      </c>
      <c r="C72" s="13" t="s">
        <v>235</v>
      </c>
      <c r="D72" s="15" t="str">
        <f>HYPERLINK("https://amzn.to/2XXPcWc","Mack's Foam Plugs")</f>
        <v>Mack's Foam Plugs</v>
      </c>
      <c r="E72" s="13" t="s">
        <v>27</v>
      </c>
      <c r="F72" s="28"/>
      <c r="G72" s="29"/>
      <c r="H72" s="35"/>
      <c r="I72" s="29"/>
      <c r="J72" s="30"/>
      <c r="K72" s="29"/>
      <c r="L72" s="30"/>
      <c r="M72" s="30"/>
      <c r="N72" s="30"/>
      <c r="O72" s="29"/>
      <c r="P72" s="29"/>
    </row>
    <row r="73" spans="1:16" ht="33.75" customHeight="1" x14ac:dyDescent="0.2">
      <c r="A73" s="37"/>
      <c r="B73" s="37"/>
      <c r="C73" s="37"/>
      <c r="D73" s="37"/>
      <c r="E73" s="37"/>
      <c r="F73" s="38"/>
      <c r="G73" s="39" t="s">
        <v>48</v>
      </c>
      <c r="H73" s="40">
        <f>SUM(H69:H72)</f>
        <v>0</v>
      </c>
      <c r="I73" s="37"/>
      <c r="J73" s="37"/>
      <c r="K73" s="37"/>
      <c r="L73" s="37"/>
      <c r="M73" s="37"/>
      <c r="N73" s="37"/>
      <c r="O73" s="37"/>
      <c r="P73" s="37"/>
    </row>
    <row r="74" spans="1:16" ht="15.75" customHeight="1" x14ac:dyDescent="0.2">
      <c r="A74" s="24"/>
      <c r="B74" s="25"/>
      <c r="C74" s="25"/>
      <c r="D74" s="25"/>
      <c r="E74" s="25"/>
      <c r="F74" s="26"/>
      <c r="G74" s="33"/>
      <c r="H74" s="34"/>
      <c r="I74" s="25"/>
      <c r="J74" s="27"/>
      <c r="K74" s="25"/>
      <c r="L74" s="27"/>
      <c r="M74" s="27"/>
      <c r="N74" s="27"/>
      <c r="O74" s="25"/>
      <c r="P74" s="25"/>
    </row>
    <row r="75" spans="1:16" ht="26.25" customHeight="1" x14ac:dyDescent="0.2">
      <c r="A75" s="1" t="s">
        <v>124</v>
      </c>
      <c r="B75" s="2"/>
      <c r="C75" s="2"/>
      <c r="D75" s="2"/>
      <c r="E75" s="5"/>
      <c r="F75" s="3" t="str">
        <f>A75</f>
        <v>KITCHEN</v>
      </c>
      <c r="G75" s="9"/>
      <c r="H75" s="11"/>
      <c r="I75" s="9"/>
      <c r="J75" s="4"/>
      <c r="K75" s="9"/>
      <c r="L75" s="4"/>
      <c r="M75" s="4"/>
      <c r="N75" s="4"/>
      <c r="O75" s="9"/>
      <c r="P75" s="12"/>
    </row>
    <row r="76" spans="1:16" ht="26.25" customHeight="1" x14ac:dyDescent="0.2">
      <c r="A76" s="6" t="s">
        <v>1</v>
      </c>
      <c r="B76" s="6" t="s">
        <v>5</v>
      </c>
      <c r="C76" s="6" t="s">
        <v>3</v>
      </c>
      <c r="D76" s="6" t="s">
        <v>4</v>
      </c>
      <c r="E76" s="6" t="s">
        <v>9</v>
      </c>
      <c r="F76" s="7" t="s">
        <v>5</v>
      </c>
      <c r="G76" s="8" t="s">
        <v>10</v>
      </c>
      <c r="H76" s="14" t="s">
        <v>11</v>
      </c>
      <c r="I76" s="8" t="s">
        <v>13</v>
      </c>
      <c r="J76" s="7" t="s">
        <v>14</v>
      </c>
      <c r="K76" s="8" t="s">
        <v>15</v>
      </c>
      <c r="L76" s="7" t="s">
        <v>16</v>
      </c>
      <c r="M76" s="7" t="s">
        <v>17</v>
      </c>
      <c r="N76" s="8" t="s">
        <v>6</v>
      </c>
      <c r="O76" s="8" t="s">
        <v>18</v>
      </c>
      <c r="P76" s="8" t="s">
        <v>19</v>
      </c>
    </row>
    <row r="77" spans="1:16" ht="33.75" customHeight="1" x14ac:dyDescent="0.2">
      <c r="A77" s="22" t="s">
        <v>125</v>
      </c>
      <c r="B77" s="13" t="s">
        <v>29</v>
      </c>
      <c r="C77" s="13" t="s">
        <v>126</v>
      </c>
      <c r="D77" s="15" t="str">
        <f>HYPERLINK("https://andrewskurka.com/2018/preview-trail-designs-kojin-stove-russ-zandbergen/","Trail Designs Kojin")</f>
        <v>Trail Designs Kojin</v>
      </c>
      <c r="E77" s="15" t="str">
        <f>HYPERLINK("https://andrewskurka.com/tag/backpacking-stove-system-gear-lists/","Gear lists: My 5 go-to stove systems")</f>
        <v>Gear lists: My 5 go-to stove systems</v>
      </c>
      <c r="F77" s="28"/>
      <c r="G77" s="29"/>
      <c r="H77" s="35"/>
      <c r="I77" s="29"/>
      <c r="J77" s="30"/>
      <c r="K77" s="29"/>
      <c r="L77" s="30"/>
      <c r="M77" s="30"/>
      <c r="N77" s="30"/>
      <c r="O77" s="29"/>
      <c r="P77" s="29"/>
    </row>
    <row r="78" spans="1:16" ht="33.75" customHeight="1" x14ac:dyDescent="0.2">
      <c r="A78" s="22" t="s">
        <v>127</v>
      </c>
      <c r="B78" s="13" t="s">
        <v>23</v>
      </c>
      <c r="C78" s="13" t="s">
        <v>128</v>
      </c>
      <c r="D78" s="15" t="str">
        <f>HYPERLINK("https://www.traildesigns.com/stoves/caldera-sidewinder","Sidewinder Ti-Tri")</f>
        <v>Sidewinder Ti-Tri</v>
      </c>
      <c r="E78" s="18" t="s">
        <v>27</v>
      </c>
      <c r="F78" s="28"/>
      <c r="G78" s="29"/>
      <c r="H78" s="35"/>
      <c r="I78" s="29"/>
      <c r="J78" s="30"/>
      <c r="K78" s="29"/>
      <c r="L78" s="30"/>
      <c r="M78" s="30"/>
      <c r="N78" s="30"/>
      <c r="O78" s="29"/>
      <c r="P78" s="29"/>
    </row>
    <row r="79" spans="1:16" ht="33.75" customHeight="1" x14ac:dyDescent="0.2">
      <c r="A79" s="22" t="s">
        <v>129</v>
      </c>
      <c r="B79" s="13" t="s">
        <v>23</v>
      </c>
      <c r="C79" s="13" t="s">
        <v>130</v>
      </c>
      <c r="D79" s="15" t="str">
        <f>HYPERLINK("http://zenstoves.net/PotStands.htm","Zen Stove: DIY pot stands")</f>
        <v>Zen Stove: DIY pot stands</v>
      </c>
      <c r="E79" s="18" t="s">
        <v>27</v>
      </c>
      <c r="F79" s="28"/>
      <c r="G79" s="29"/>
      <c r="H79" s="35"/>
      <c r="I79" s="29"/>
      <c r="J79" s="30"/>
      <c r="K79" s="29"/>
      <c r="L79" s="30"/>
      <c r="M79" s="30"/>
      <c r="N79" s="30"/>
      <c r="O79" s="29"/>
      <c r="P79" s="29"/>
    </row>
    <row r="80" spans="1:16" ht="33.75" customHeight="1" x14ac:dyDescent="0.2">
      <c r="A80" s="22" t="s">
        <v>131</v>
      </c>
      <c r="B80" s="13" t="s">
        <v>29</v>
      </c>
      <c r="C80" s="13" t="s">
        <v>132</v>
      </c>
      <c r="D80" s="15" t="str">
        <f>HYPERLINK("http://amzn.to/2dVvgLn","Evernew Titanium Ultraight 900ml")</f>
        <v>Evernew Titanium Ultraight 900ml</v>
      </c>
      <c r="E80" s="15" t="str">
        <f>HYPERLINK("http://andrewskurka.com/section/how-to/food-nutrition/meal-recipes/","Dinner &amp; Breakfast Recipes")</f>
        <v>Dinner &amp; Breakfast Recipes</v>
      </c>
      <c r="F80" s="28"/>
      <c r="G80" s="29"/>
      <c r="H80" s="35"/>
      <c r="I80" s="29"/>
      <c r="J80" s="30"/>
      <c r="K80" s="29"/>
      <c r="L80" s="30"/>
      <c r="M80" s="30"/>
      <c r="N80" s="30"/>
      <c r="O80" s="29"/>
      <c r="P80" s="29"/>
    </row>
    <row r="81" spans="1:16" ht="33.75" customHeight="1" x14ac:dyDescent="0.2">
      <c r="A81" s="22" t="s">
        <v>133</v>
      </c>
      <c r="B81" s="13" t="s">
        <v>23</v>
      </c>
      <c r="C81" s="13" t="s">
        <v>134</v>
      </c>
      <c r="D81" s="15" t="str">
        <f>HYPERLINK("http://goo.gl/y9XMka","GSI Outdoors Baked Enamelware Bowl")</f>
        <v>GSI Outdoors Baked Enamelware Bowl</v>
      </c>
      <c r="E81" s="13" t="s">
        <v>27</v>
      </c>
      <c r="F81" s="28"/>
      <c r="G81" s="29"/>
      <c r="H81" s="35"/>
      <c r="I81" s="29"/>
      <c r="J81" s="30"/>
      <c r="K81" s="29"/>
      <c r="L81" s="30"/>
      <c r="M81" s="30"/>
      <c r="N81" s="30"/>
      <c r="O81" s="29"/>
      <c r="P81" s="29"/>
    </row>
    <row r="82" spans="1:16" ht="33.75" customHeight="1" x14ac:dyDescent="0.2">
      <c r="A82" s="22" t="s">
        <v>135</v>
      </c>
      <c r="B82" s="13" t="s">
        <v>32</v>
      </c>
      <c r="C82" s="13" t="s">
        <v>136</v>
      </c>
      <c r="D82" s="15" t="str">
        <f>HYPERLINK("http://amzn.to/1RYjT59","Starbucks Reusable Mug ($2 at stores)")</f>
        <v>Starbucks Reusable Mug ($2 at stores)</v>
      </c>
      <c r="E82" s="13" t="s">
        <v>27</v>
      </c>
      <c r="F82" s="28"/>
      <c r="G82" s="29"/>
      <c r="H82" s="35"/>
      <c r="I82" s="29"/>
      <c r="J82" s="30"/>
      <c r="K82" s="29"/>
      <c r="L82" s="30"/>
      <c r="M82" s="30"/>
      <c r="N82" s="30"/>
      <c r="O82" s="29"/>
      <c r="P82" s="29"/>
    </row>
    <row r="83" spans="1:16" ht="33.75" customHeight="1" x14ac:dyDescent="0.2">
      <c r="A83" s="10" t="s">
        <v>137</v>
      </c>
      <c r="B83" s="13" t="s">
        <v>32</v>
      </c>
      <c r="C83" s="13" t="s">
        <v>138</v>
      </c>
      <c r="D83" s="15" t="str">
        <f>HYPERLINK("https://goo.gl/RxP9LG","MSR PanHandler Potlifter")</f>
        <v>MSR PanHandler Potlifter</v>
      </c>
      <c r="E83" s="18" t="s">
        <v>27</v>
      </c>
      <c r="F83" s="28"/>
      <c r="G83" s="29"/>
      <c r="H83" s="35"/>
      <c r="I83" s="29"/>
      <c r="J83" s="30"/>
      <c r="K83" s="29"/>
      <c r="L83" s="30"/>
      <c r="M83" s="30"/>
      <c r="N83" s="30"/>
      <c r="O83" s="29"/>
      <c r="P83" s="29"/>
    </row>
    <row r="84" spans="1:16" ht="33.75" customHeight="1" x14ac:dyDescent="0.2">
      <c r="A84" s="22" t="s">
        <v>139</v>
      </c>
      <c r="B84" s="13" t="s">
        <v>29</v>
      </c>
      <c r="C84" s="13" t="s">
        <v>140</v>
      </c>
      <c r="D84" s="13" t="s">
        <v>141</v>
      </c>
      <c r="E84" s="18" t="s">
        <v>27</v>
      </c>
      <c r="F84" s="28"/>
      <c r="G84" s="29"/>
      <c r="H84" s="35"/>
      <c r="I84" s="29"/>
      <c r="J84" s="30"/>
      <c r="K84" s="29"/>
      <c r="L84" s="30"/>
      <c r="M84" s="30"/>
      <c r="N84" s="30"/>
      <c r="O84" s="29"/>
      <c r="P84" s="29"/>
    </row>
    <row r="85" spans="1:16" ht="33.75" customHeight="1" x14ac:dyDescent="0.2">
      <c r="A85" s="10" t="s">
        <v>142</v>
      </c>
      <c r="B85" s="13" t="s">
        <v>29</v>
      </c>
      <c r="C85" s="13" t="s">
        <v>143</v>
      </c>
      <c r="D85" s="15" t="str">
        <f>HYPERLINK("http://amzn.to/1qH6qpz","Plastic measurement cups - 1 oz")</f>
        <v>Plastic measurement cups - 1 oz</v>
      </c>
      <c r="E85" s="13" t="s">
        <v>27</v>
      </c>
      <c r="F85" s="28"/>
      <c r="G85" s="29"/>
      <c r="H85" s="35"/>
      <c r="I85" s="29"/>
      <c r="J85" s="30"/>
      <c r="K85" s="29"/>
      <c r="L85" s="30"/>
      <c r="M85" s="30"/>
      <c r="N85" s="30"/>
      <c r="O85" s="29"/>
      <c r="P85" s="29"/>
    </row>
    <row r="86" spans="1:16" ht="33.75" customHeight="1" x14ac:dyDescent="0.2">
      <c r="A86" s="22" t="s">
        <v>144</v>
      </c>
      <c r="B86" s="13" t="s">
        <v>8</v>
      </c>
      <c r="C86" s="13" t="s">
        <v>145</v>
      </c>
      <c r="D86" s="15" t="str">
        <f>HYPERLINK("https://goo.gl/uWb5z8","GSI Outdoors Table Spoon")</f>
        <v>GSI Outdoors Table Spoon</v>
      </c>
      <c r="E86" s="13" t="s">
        <v>27</v>
      </c>
      <c r="F86" s="28"/>
      <c r="G86" s="29"/>
      <c r="H86" s="35"/>
      <c r="I86" s="29"/>
      <c r="J86" s="30"/>
      <c r="K86" s="29"/>
      <c r="L86" s="30"/>
      <c r="M86" s="30"/>
      <c r="N86" s="30"/>
      <c r="O86" s="29"/>
      <c r="P86" s="29"/>
    </row>
    <row r="87" spans="1:16" ht="33.75" customHeight="1" x14ac:dyDescent="0.2">
      <c r="A87" s="22" t="s">
        <v>146</v>
      </c>
      <c r="B87" s="13" t="s">
        <v>29</v>
      </c>
      <c r="C87" s="13" t="s">
        <v>147</v>
      </c>
      <c r="D87" s="15" t="str">
        <f>HYPERLINK("http://amzn.to/1UZdLgY","Bic Lighter")</f>
        <v>Bic Lighter</v>
      </c>
      <c r="E87" s="13" t="s">
        <v>27</v>
      </c>
      <c r="F87" s="28"/>
      <c r="G87" s="29"/>
      <c r="H87" s="35"/>
      <c r="I87" s="29"/>
      <c r="J87" s="30"/>
      <c r="K87" s="29"/>
      <c r="L87" s="30"/>
      <c r="M87" s="30"/>
      <c r="N87" s="30"/>
      <c r="O87" s="29"/>
      <c r="P87" s="29"/>
    </row>
    <row r="88" spans="1:16" ht="33.75" customHeight="1" x14ac:dyDescent="0.2">
      <c r="A88" s="37"/>
      <c r="B88" s="37"/>
      <c r="C88" s="37"/>
      <c r="D88" s="37"/>
      <c r="E88" s="37"/>
      <c r="F88" s="38"/>
      <c r="G88" s="39" t="s">
        <v>48</v>
      </c>
      <c r="H88" s="40">
        <f>SUM(H77:H87)</f>
        <v>0</v>
      </c>
      <c r="I88" s="37"/>
      <c r="J88" s="37"/>
      <c r="K88" s="37"/>
      <c r="L88" s="37"/>
      <c r="M88" s="37"/>
      <c r="N88" s="37"/>
      <c r="O88" s="37"/>
      <c r="P88" s="37"/>
    </row>
    <row r="89" spans="1:16" ht="15.75" customHeight="1" x14ac:dyDescent="0.2">
      <c r="A89" s="24"/>
      <c r="B89" s="25"/>
      <c r="C89" s="25"/>
      <c r="D89" s="25"/>
      <c r="E89" s="25"/>
      <c r="F89" s="26"/>
      <c r="G89" s="33"/>
      <c r="H89" s="34"/>
      <c r="I89" s="25"/>
      <c r="J89" s="27"/>
      <c r="K89" s="25"/>
      <c r="L89" s="27"/>
      <c r="M89" s="27"/>
      <c r="N89" s="27"/>
      <c r="O89" s="25"/>
      <c r="P89" s="25"/>
    </row>
    <row r="90" spans="1:16" ht="26.25" customHeight="1" x14ac:dyDescent="0.2">
      <c r="A90" s="1" t="s">
        <v>148</v>
      </c>
      <c r="B90" s="2"/>
      <c r="C90" s="2"/>
      <c r="D90" s="2"/>
      <c r="E90" s="5"/>
      <c r="F90" s="3" t="str">
        <f>A90</f>
        <v>HYDRATION</v>
      </c>
      <c r="G90" s="9"/>
      <c r="H90" s="11"/>
      <c r="I90" s="9"/>
      <c r="J90" s="4"/>
      <c r="K90" s="9"/>
      <c r="L90" s="4"/>
      <c r="M90" s="4"/>
      <c r="N90" s="4"/>
      <c r="O90" s="9"/>
      <c r="P90" s="12"/>
    </row>
    <row r="91" spans="1:16" ht="26.25" customHeight="1" x14ac:dyDescent="0.2">
      <c r="A91" s="6" t="s">
        <v>1</v>
      </c>
      <c r="B91" s="6" t="s">
        <v>5</v>
      </c>
      <c r="C91" s="6" t="s">
        <v>3</v>
      </c>
      <c r="D91" s="6" t="s">
        <v>4</v>
      </c>
      <c r="E91" s="6" t="s">
        <v>9</v>
      </c>
      <c r="F91" s="7" t="s">
        <v>5</v>
      </c>
      <c r="G91" s="8" t="s">
        <v>10</v>
      </c>
      <c r="H91" s="14" t="s">
        <v>11</v>
      </c>
      <c r="I91" s="8" t="s">
        <v>13</v>
      </c>
      <c r="J91" s="7" t="s">
        <v>14</v>
      </c>
      <c r="K91" s="8" t="s">
        <v>15</v>
      </c>
      <c r="L91" s="7" t="s">
        <v>16</v>
      </c>
      <c r="M91" s="7" t="s">
        <v>17</v>
      </c>
      <c r="N91" s="8" t="s">
        <v>6</v>
      </c>
      <c r="O91" s="8" t="s">
        <v>18</v>
      </c>
      <c r="P91" s="8" t="s">
        <v>19</v>
      </c>
    </row>
    <row r="92" spans="1:16" ht="33.75" customHeight="1" x14ac:dyDescent="0.2">
      <c r="A92" s="10" t="s">
        <v>149</v>
      </c>
      <c r="B92" s="13" t="s">
        <v>8</v>
      </c>
      <c r="C92" s="13" t="s">
        <v>150</v>
      </c>
      <c r="D92" s="18" t="s">
        <v>151</v>
      </c>
      <c r="E92" s="13" t="s">
        <v>27</v>
      </c>
      <c r="F92" s="28"/>
      <c r="G92" s="29"/>
      <c r="H92" s="35"/>
      <c r="I92" s="29"/>
      <c r="J92" s="30"/>
      <c r="K92" s="29"/>
      <c r="L92" s="30"/>
      <c r="M92" s="30"/>
      <c r="N92" s="30"/>
      <c r="O92" s="29"/>
      <c r="P92" s="29"/>
    </row>
    <row r="93" spans="1:16" ht="33.75" customHeight="1" x14ac:dyDescent="0.2">
      <c r="A93" s="10" t="s">
        <v>152</v>
      </c>
      <c r="B93" s="13" t="s">
        <v>29</v>
      </c>
      <c r="C93" s="13" t="s">
        <v>153</v>
      </c>
      <c r="D93" s="15" t="str">
        <f>HYPERLINK("http://amzn.to/2eOaWzD","Platypus Platy Bottle 2L")</f>
        <v>Platypus Platy Bottle 2L</v>
      </c>
      <c r="E93" s="13" t="s">
        <v>27</v>
      </c>
      <c r="F93" s="28"/>
      <c r="G93" s="29"/>
      <c r="H93" s="35"/>
      <c r="I93" s="29"/>
      <c r="J93" s="30"/>
      <c r="K93" s="29"/>
      <c r="L93" s="30"/>
      <c r="M93" s="30"/>
      <c r="N93" s="30"/>
      <c r="O93" s="29"/>
      <c r="P93" s="29"/>
    </row>
    <row r="94" spans="1:16" ht="33.75" customHeight="1" x14ac:dyDescent="0.2">
      <c r="A94" s="10" t="s">
        <v>154</v>
      </c>
      <c r="B94" s="13" t="s">
        <v>8</v>
      </c>
      <c r="C94" s="13" t="s">
        <v>155</v>
      </c>
      <c r="D94" s="15" t="str">
        <f>HYPERLINK("http://goo.gl/Kw1qNa","Aquamira Drops with pre-mix bottle")</f>
        <v>Aquamira Drops with pre-mix bottle</v>
      </c>
      <c r="E94" s="15" t="str">
        <f>HYPERLINK("https://andrewskurka.com/2018/tutorial-how-to-purify-water-backcountry-methods-pros-cons/","Tutorial: Purification methods")</f>
        <v>Tutorial: Purification methods</v>
      </c>
      <c r="F94" s="28"/>
      <c r="G94" s="29"/>
      <c r="H94" s="35"/>
      <c r="I94" s="29"/>
      <c r="J94" s="30"/>
      <c r="K94" s="29"/>
      <c r="L94" s="30"/>
      <c r="M94" s="30"/>
      <c r="N94" s="30"/>
      <c r="O94" s="29"/>
      <c r="P94" s="29"/>
    </row>
    <row r="95" spans="1:16" ht="33.75" customHeight="1" x14ac:dyDescent="0.2">
      <c r="A95" s="10" t="s">
        <v>156</v>
      </c>
      <c r="B95" s="13" t="s">
        <v>32</v>
      </c>
      <c r="C95" s="13" t="s">
        <v>157</v>
      </c>
      <c r="D95" s="15" t="str">
        <f>HYPERLINK("https://goo.gl/ipEQPW","Platypus GravityWorks 4.0L")</f>
        <v>Platypus GravityWorks 4.0L</v>
      </c>
      <c r="E95" s="13" t="s">
        <v>27</v>
      </c>
      <c r="F95" s="28"/>
      <c r="G95" s="29"/>
      <c r="H95" s="35"/>
      <c r="I95" s="29"/>
      <c r="J95" s="30"/>
      <c r="K95" s="29"/>
      <c r="L95" s="30"/>
      <c r="M95" s="30"/>
      <c r="N95" s="30"/>
      <c r="O95" s="29"/>
      <c r="P95" s="29"/>
    </row>
    <row r="96" spans="1:16" ht="33.75" customHeight="1" x14ac:dyDescent="0.2">
      <c r="A96" s="37"/>
      <c r="B96" s="37"/>
      <c r="C96" s="37"/>
      <c r="D96" s="37"/>
      <c r="E96" s="37"/>
      <c r="F96" s="38"/>
      <c r="G96" s="39" t="s">
        <v>48</v>
      </c>
      <c r="H96" s="40">
        <f>SUM(H92:H95)</f>
        <v>0</v>
      </c>
      <c r="I96" s="37"/>
      <c r="J96" s="37"/>
      <c r="K96" s="37"/>
      <c r="L96" s="37"/>
      <c r="M96" s="37"/>
      <c r="N96" s="37"/>
      <c r="O96" s="37"/>
      <c r="P96" s="37"/>
    </row>
    <row r="97" spans="1:16" ht="15.75" customHeight="1" x14ac:dyDescent="0.2">
      <c r="A97" s="24"/>
      <c r="B97" s="25"/>
      <c r="C97" s="25"/>
      <c r="D97" s="25"/>
      <c r="E97" s="25"/>
      <c r="F97" s="26"/>
      <c r="G97" s="33"/>
      <c r="H97" s="34"/>
      <c r="I97" s="25"/>
      <c r="J97" s="27"/>
      <c r="K97" s="25"/>
      <c r="L97" s="27"/>
      <c r="M97" s="27"/>
      <c r="N97" s="27"/>
      <c r="O97" s="25"/>
      <c r="P97" s="25"/>
    </row>
    <row r="98" spans="1:16" ht="26.25" customHeight="1" x14ac:dyDescent="0.2">
      <c r="A98" s="1" t="s">
        <v>158</v>
      </c>
      <c r="B98" s="2"/>
      <c r="C98" s="2"/>
      <c r="D98" s="2"/>
      <c r="E98" s="5"/>
      <c r="F98" s="3" t="str">
        <f>A98</f>
        <v>NAVIGATION</v>
      </c>
      <c r="G98" s="9"/>
      <c r="H98" s="11"/>
      <c r="I98" s="9"/>
      <c r="J98" s="4"/>
      <c r="K98" s="9"/>
      <c r="L98" s="4"/>
      <c r="M98" s="4"/>
      <c r="N98" s="4"/>
      <c r="O98" s="9"/>
      <c r="P98" s="12"/>
    </row>
    <row r="99" spans="1:16" ht="26.25" customHeight="1" x14ac:dyDescent="0.2">
      <c r="A99" s="6" t="s">
        <v>1</v>
      </c>
      <c r="B99" s="6" t="s">
        <v>5</v>
      </c>
      <c r="C99" s="6" t="s">
        <v>3</v>
      </c>
      <c r="D99" s="6" t="s">
        <v>4</v>
      </c>
      <c r="E99" s="6" t="s">
        <v>9</v>
      </c>
      <c r="F99" s="7" t="s">
        <v>5</v>
      </c>
      <c r="G99" s="8" t="s">
        <v>10</v>
      </c>
      <c r="H99" s="14" t="s">
        <v>11</v>
      </c>
      <c r="I99" s="8" t="s">
        <v>13</v>
      </c>
      <c r="J99" s="7" t="s">
        <v>14</v>
      </c>
      <c r="K99" s="8" t="s">
        <v>15</v>
      </c>
      <c r="L99" s="7" t="s">
        <v>16</v>
      </c>
      <c r="M99" s="7" t="s">
        <v>17</v>
      </c>
      <c r="N99" s="8" t="s">
        <v>6</v>
      </c>
      <c r="O99" s="8" t="s">
        <v>18</v>
      </c>
      <c r="P99" s="8" t="s">
        <v>19</v>
      </c>
    </row>
    <row r="100" spans="1:16" ht="33.75" customHeight="1" x14ac:dyDescent="0.2">
      <c r="A100" s="10" t="s">
        <v>159</v>
      </c>
      <c r="B100" s="13" t="s">
        <v>23</v>
      </c>
      <c r="C100" s="13" t="s">
        <v>160</v>
      </c>
      <c r="D100" s="15" t="str">
        <f>HYPERLINK("https://andrewskurka.com/product/yosemite-high-route-guide/","Yosemite High Route Guide")</f>
        <v>Yosemite High Route Guide</v>
      </c>
      <c r="E100" s="18" t="s">
        <v>27</v>
      </c>
      <c r="F100" s="20"/>
      <c r="G100" s="29"/>
      <c r="H100" s="35"/>
      <c r="I100" s="29"/>
      <c r="J100" s="30"/>
      <c r="K100" s="29"/>
      <c r="L100" s="30"/>
      <c r="M100" s="30"/>
      <c r="N100" s="30"/>
      <c r="O100" s="29"/>
      <c r="P100" s="29"/>
    </row>
    <row r="101" spans="1:16" ht="33.75" customHeight="1" x14ac:dyDescent="0.2">
      <c r="A101" s="10" t="s">
        <v>161</v>
      </c>
      <c r="B101" s="13" t="s">
        <v>23</v>
      </c>
      <c r="C101" s="13" t="s">
        <v>162</v>
      </c>
      <c r="D101" s="15" t="str">
        <f>HYPERLINK("http://caltopo.com/map.html","USGS 7.5-min maps, made in CalTopo")</f>
        <v>USGS 7.5-min maps, made in CalTopo</v>
      </c>
      <c r="E101" s="15" t="str">
        <f>HYPERLINK("http://andrewskurka.com/2015/the-future-of-caltopo-interview-with-founder-matt-jacobs/","Interview w/CalTopo founder Matt Jacobs")</f>
        <v>Interview w/CalTopo founder Matt Jacobs</v>
      </c>
      <c r="F101" s="20"/>
      <c r="G101" s="29"/>
      <c r="H101" s="35"/>
      <c r="I101" s="29"/>
      <c r="J101" s="30"/>
      <c r="K101" s="29"/>
      <c r="L101" s="30"/>
      <c r="M101" s="30"/>
      <c r="N101" s="30"/>
      <c r="O101" s="29"/>
      <c r="P101" s="29"/>
    </row>
    <row r="102" spans="1:16" ht="33.75" customHeight="1" x14ac:dyDescent="0.2">
      <c r="A102" s="10" t="s">
        <v>163</v>
      </c>
      <c r="B102" s="10" t="s">
        <v>23</v>
      </c>
      <c r="C102" s="13" t="s">
        <v>164</v>
      </c>
      <c r="D102" s="15" t="str">
        <f>HYPERLINK("https://andrewskurka.com/product/pfiffner-traverse-guide-maps/","Pfiffner Traverse Guide")</f>
        <v>Pfiffner Traverse Guide</v>
      </c>
      <c r="E102" s="15" t="str">
        <f>HYPERLINK("https://andrewskurka.com/2017/tutorial-dead-reckoning-navigation-hiking/","Tutorial: Dead- reckoning nav")</f>
        <v>Tutorial: Dead- reckoning nav</v>
      </c>
      <c r="F102" s="20"/>
      <c r="G102" s="29"/>
      <c r="H102" s="35"/>
      <c r="I102" s="29"/>
      <c r="J102" s="30"/>
      <c r="K102" s="29"/>
      <c r="L102" s="30"/>
      <c r="M102" s="30"/>
      <c r="N102" s="30"/>
      <c r="O102" s="29"/>
      <c r="P102" s="29"/>
    </row>
    <row r="103" spans="1:16" ht="33.75" customHeight="1" x14ac:dyDescent="0.2">
      <c r="A103" s="22" t="s">
        <v>165</v>
      </c>
      <c r="B103" s="10" t="s">
        <v>29</v>
      </c>
      <c r="C103" s="13" t="s">
        <v>166</v>
      </c>
      <c r="D103" s="15" t="str">
        <f>HYPERLINK("https://andrewskurka.com/2018/long-term-review-suunto-ambit3-peak-gps-sport-watch/","Suunto Ambit3 Peak GPS Watch")</f>
        <v>Suunto Ambit3 Peak GPS Watch</v>
      </c>
      <c r="E103" s="15" t="str">
        <f>HYPERLINK("https://andrewskurka.com/2016/altimeter-watches-made-obsolete-by-the-gps-sport-watch/","ABC watches are obsolete")</f>
        <v>ABC watches are obsolete</v>
      </c>
      <c r="F103" s="20"/>
      <c r="G103" s="29"/>
      <c r="H103" s="35"/>
      <c r="I103" s="29"/>
      <c r="J103" s="30"/>
      <c r="K103" s="29"/>
      <c r="L103" s="30"/>
      <c r="M103" s="30"/>
      <c r="N103" s="30"/>
      <c r="O103" s="29"/>
      <c r="P103" s="29"/>
    </row>
    <row r="104" spans="1:16" ht="33.75" customHeight="1" x14ac:dyDescent="0.2">
      <c r="A104" s="22" t="s">
        <v>167</v>
      </c>
      <c r="B104" s="13" t="s">
        <v>23</v>
      </c>
      <c r="C104" s="13" t="s">
        <v>168</v>
      </c>
      <c r="D104" s="15" t="str">
        <f>HYPERLINK("https://andrewskurka.com/2016/long-term-review-suunto-m-3g-global-compass-adjustable-ultralight/","Suunto M-3G Global Pro Compass")</f>
        <v>Suunto M-3G Global Pro Compass</v>
      </c>
      <c r="E104" s="15" t="str">
        <f>HYPERLINK("http://andrewskurka.com/2016/map-compass-adjust-for-declination-orient-the-map/","How-to video: Map &amp; Compass")</f>
        <v>How-to video: Map &amp; Compass</v>
      </c>
      <c r="F104" s="20"/>
      <c r="G104" s="29"/>
      <c r="H104" s="35"/>
      <c r="I104" s="29"/>
      <c r="J104" s="30"/>
      <c r="K104" s="29"/>
      <c r="L104" s="30"/>
      <c r="M104" s="30"/>
      <c r="N104" s="30"/>
      <c r="O104" s="29"/>
      <c r="P104" s="29"/>
    </row>
    <row r="105" spans="1:16" ht="33.75" customHeight="1" x14ac:dyDescent="0.2">
      <c r="A105" s="10" t="s">
        <v>169</v>
      </c>
      <c r="B105" s="13" t="s">
        <v>29</v>
      </c>
      <c r="C105" s="13" t="s">
        <v>170</v>
      </c>
      <c r="D105" s="15" t="str">
        <f>HYPERLINK("https://www.gaiagps.com","Pixel w/Gaia GPS")</f>
        <v>Pixel w/Gaia GPS</v>
      </c>
      <c r="E105" s="15" t="str">
        <f>HYPERLINK("http://andrewskurka.com/2015/backpacking-topographical-maps-types-sources-formats/","Essential topos: types, sources")</f>
        <v>Essential topos: types, sources</v>
      </c>
      <c r="F105" s="20"/>
      <c r="G105" s="29"/>
      <c r="H105" s="35"/>
      <c r="I105" s="29"/>
      <c r="J105" s="30"/>
      <c r="K105" s="29"/>
      <c r="L105" s="30"/>
      <c r="M105" s="30"/>
      <c r="N105" s="30"/>
      <c r="O105" s="29"/>
      <c r="P105" s="29"/>
    </row>
    <row r="106" spans="1:16" ht="33.75" customHeight="1" x14ac:dyDescent="0.2">
      <c r="A106" s="10" t="s">
        <v>171</v>
      </c>
      <c r="B106" s="13" t="s">
        <v>29</v>
      </c>
      <c r="C106" s="13" t="s">
        <v>172</v>
      </c>
      <c r="D106" s="15" t="str">
        <f>HYPERLINK("https://amzn.to/2u2im92","Ziploc 1-gallon Freezer Bag")</f>
        <v>Ziploc 1-gallon Freezer Bag</v>
      </c>
      <c r="E106" s="13" t="s">
        <v>27</v>
      </c>
      <c r="F106" s="20"/>
      <c r="G106" s="29"/>
      <c r="H106" s="35"/>
      <c r="I106" s="29"/>
      <c r="J106" s="30"/>
      <c r="K106" s="29"/>
      <c r="L106" s="30"/>
      <c r="M106" s="30"/>
      <c r="N106" s="30"/>
      <c r="O106" s="29"/>
      <c r="P106" s="29"/>
    </row>
    <row r="107" spans="1:16" ht="33.75" customHeight="1" x14ac:dyDescent="0.2">
      <c r="A107" s="22" t="s">
        <v>173</v>
      </c>
      <c r="B107" s="13" t="s">
        <v>29</v>
      </c>
      <c r="C107" s="13" t="s">
        <v>174</v>
      </c>
      <c r="D107" s="13" t="s">
        <v>175</v>
      </c>
      <c r="E107" s="13" t="s">
        <v>27</v>
      </c>
      <c r="F107" s="20"/>
      <c r="G107" s="29"/>
      <c r="H107" s="35"/>
      <c r="I107" s="29"/>
      <c r="J107" s="30"/>
      <c r="K107" s="29"/>
      <c r="L107" s="30"/>
      <c r="M107" s="30"/>
      <c r="N107" s="30"/>
      <c r="O107" s="29"/>
      <c r="P107" s="29"/>
    </row>
    <row r="108" spans="1:16" ht="33.75" customHeight="1" x14ac:dyDescent="0.2">
      <c r="A108" s="37"/>
      <c r="B108" s="37"/>
      <c r="C108" s="37"/>
      <c r="D108" s="37"/>
      <c r="E108" s="37"/>
      <c r="F108" s="38"/>
      <c r="G108" s="39" t="s">
        <v>48</v>
      </c>
      <c r="H108" s="40">
        <f>SUM(H100:H107)</f>
        <v>0</v>
      </c>
      <c r="I108" s="37"/>
      <c r="J108" s="37"/>
      <c r="K108" s="37"/>
      <c r="L108" s="37"/>
      <c r="M108" s="37"/>
      <c r="N108" s="37"/>
      <c r="O108" s="37"/>
      <c r="P108" s="37"/>
    </row>
    <row r="109" spans="1:16" ht="15.75" customHeight="1" x14ac:dyDescent="0.2">
      <c r="A109" s="24"/>
      <c r="B109" s="25"/>
      <c r="C109" s="25"/>
      <c r="D109" s="25"/>
      <c r="E109" s="25"/>
      <c r="F109" s="26"/>
      <c r="G109" s="33"/>
      <c r="H109" s="34"/>
      <c r="I109" s="25"/>
      <c r="J109" s="27"/>
      <c r="K109" s="25"/>
      <c r="L109" s="27"/>
      <c r="M109" s="27"/>
      <c r="N109" s="27"/>
      <c r="O109" s="25"/>
      <c r="P109" s="25"/>
    </row>
    <row r="110" spans="1:16" ht="26.25" customHeight="1" x14ac:dyDescent="0.2">
      <c r="A110" s="1" t="s">
        <v>176</v>
      </c>
      <c r="B110" s="2"/>
      <c r="C110" s="2"/>
      <c r="D110" s="2"/>
      <c r="E110" s="5"/>
      <c r="F110" s="3" t="str">
        <f>A110</f>
        <v>TOOLS, FIRST AID, EMERGENCY, &amp; UTILITY</v>
      </c>
      <c r="G110" s="9"/>
      <c r="H110" s="11"/>
      <c r="I110" s="9"/>
      <c r="J110" s="4"/>
      <c r="K110" s="9"/>
      <c r="L110" s="4"/>
      <c r="M110" s="4"/>
      <c r="N110" s="4"/>
      <c r="O110" s="9"/>
      <c r="P110" s="12"/>
    </row>
    <row r="111" spans="1:16" ht="26.25" customHeight="1" x14ac:dyDescent="0.2">
      <c r="A111" s="6" t="s">
        <v>1</v>
      </c>
      <c r="B111" s="6" t="s">
        <v>5</v>
      </c>
      <c r="C111" s="6" t="s">
        <v>3</v>
      </c>
      <c r="D111" s="6" t="s">
        <v>4</v>
      </c>
      <c r="E111" s="6" t="s">
        <v>9</v>
      </c>
      <c r="F111" s="7" t="s">
        <v>5</v>
      </c>
      <c r="G111" s="8" t="s">
        <v>10</v>
      </c>
      <c r="H111" s="14" t="s">
        <v>11</v>
      </c>
      <c r="I111" s="8" t="s">
        <v>13</v>
      </c>
      <c r="J111" s="7" t="s">
        <v>14</v>
      </c>
      <c r="K111" s="8" t="s">
        <v>15</v>
      </c>
      <c r="L111" s="7" t="s">
        <v>16</v>
      </c>
      <c r="M111" s="7" t="s">
        <v>17</v>
      </c>
      <c r="N111" s="8" t="s">
        <v>6</v>
      </c>
      <c r="O111" s="8" t="s">
        <v>18</v>
      </c>
      <c r="P111" s="8" t="s">
        <v>19</v>
      </c>
    </row>
    <row r="112" spans="1:16" ht="33.75" customHeight="1" x14ac:dyDescent="0.2">
      <c r="A112" s="22" t="s">
        <v>177</v>
      </c>
      <c r="B112" s="13" t="s">
        <v>29</v>
      </c>
      <c r="C112" s="13" t="s">
        <v>178</v>
      </c>
      <c r="D112" s="15" t="str">
        <f>HYPERLINK("https://andrewskurka.com/2016/black-diamond-spot-headlamp-review/","Black Diamond Spot Headlamp")</f>
        <v>Black Diamond Spot Headlamp</v>
      </c>
      <c r="E112" s="13" t="s">
        <v>27</v>
      </c>
      <c r="F112" s="28"/>
      <c r="G112" s="29"/>
      <c r="H112" s="35"/>
      <c r="I112" s="29"/>
      <c r="J112" s="30"/>
      <c r="K112" s="29"/>
      <c r="L112" s="30"/>
      <c r="M112" s="30"/>
      <c r="N112" s="30"/>
      <c r="O112" s="29"/>
      <c r="P112" s="29"/>
    </row>
    <row r="113" spans="1:16" ht="33.75" customHeight="1" x14ac:dyDescent="0.2">
      <c r="A113" s="22" t="s">
        <v>179</v>
      </c>
      <c r="B113" s="13" t="s">
        <v>29</v>
      </c>
      <c r="C113" s="13" t="s">
        <v>180</v>
      </c>
      <c r="D113" s="15" t="str">
        <f>HYPERLINK("http://amzn.to/2eOc7ii","Victorinox Classic")</f>
        <v>Victorinox Classic</v>
      </c>
      <c r="E113" s="13" t="s">
        <v>27</v>
      </c>
      <c r="F113" s="28"/>
      <c r="G113" s="29"/>
      <c r="H113" s="35"/>
      <c r="I113" s="29"/>
      <c r="J113" s="30"/>
      <c r="K113" s="29"/>
      <c r="L113" s="30"/>
      <c r="M113" s="30"/>
      <c r="N113" s="30"/>
      <c r="O113" s="29"/>
      <c r="P113" s="29"/>
    </row>
    <row r="114" spans="1:16" ht="33.75" customHeight="1" x14ac:dyDescent="0.2">
      <c r="A114" s="10" t="s">
        <v>181</v>
      </c>
      <c r="B114" s="13" t="s">
        <v>8</v>
      </c>
      <c r="C114" s="13" t="s">
        <v>182</v>
      </c>
      <c r="D114" s="15" t="str">
        <f>HYPERLINK("http://andrewskurka.com/2016/backpacking-first-aid-kit-gear-list-downloadable-checklist/","Gear List: DIY First Aid Kit")</f>
        <v>Gear List: DIY First Aid Kit</v>
      </c>
      <c r="E114" s="15" t="str">
        <f>HYPERLINK("http://andrewskurka.com/2015/backcountry-first-aid-emergencies-next-sd-live-thurs-aug-20/","First Aid &amp; E-Comm - SD LIVE")</f>
        <v>First Aid &amp; E-Comm - SD LIVE</v>
      </c>
      <c r="F114" s="28"/>
      <c r="G114" s="29"/>
      <c r="H114" s="35"/>
      <c r="I114" s="29"/>
      <c r="J114" s="30"/>
      <c r="K114" s="29"/>
      <c r="L114" s="30"/>
      <c r="M114" s="30"/>
      <c r="N114" s="30"/>
      <c r="O114" s="29"/>
      <c r="P114" s="29"/>
    </row>
    <row r="115" spans="1:16" ht="33.75" customHeight="1" x14ac:dyDescent="0.2">
      <c r="A115" s="10" t="s">
        <v>183</v>
      </c>
      <c r="B115" s="13" t="s">
        <v>8</v>
      </c>
      <c r="C115" s="13" t="s">
        <v>184</v>
      </c>
      <c r="D115" s="15" t="str">
        <f>HYPERLINK("http://andrewskurka.com/2016/gear-list-backpacking-hiking-foot-care-kit-blisters-maceration/","Gear List: DIY Foot Care Kit")</f>
        <v>Gear List: DIY Foot Care Kit</v>
      </c>
      <c r="E115" s="15" t="str">
        <f>HYPERLINK("http://andrewskurka.com/2015/sd-live-july-22-would-you-suck-on-these-toes/","Footwear &amp; Footcare - SD LIVE")</f>
        <v>Footwear &amp; Footcare - SD LIVE</v>
      </c>
      <c r="F115" s="20"/>
      <c r="G115" s="13"/>
      <c r="H115" s="23"/>
      <c r="I115" s="13"/>
      <c r="J115" s="21"/>
      <c r="K115" s="13"/>
      <c r="L115" s="21"/>
      <c r="M115" s="21"/>
      <c r="N115" s="21"/>
      <c r="O115" s="13"/>
      <c r="P115" s="13"/>
    </row>
    <row r="116" spans="1:16" ht="33.75" customHeight="1" x14ac:dyDescent="0.2">
      <c r="A116" s="10" t="s">
        <v>185</v>
      </c>
      <c r="B116" s="13" t="s">
        <v>8</v>
      </c>
      <c r="C116" s="13" t="s">
        <v>186</v>
      </c>
      <c r="D116" s="15" t="str">
        <f>HYPERLINK("http://andrewskurka.com/2016/gear-list-backpacking-field-repair-kit-broken-torn-worn-out-gear/","Gear List: DIY Field Repair Kit")</f>
        <v>Gear List: DIY Field Repair Kit</v>
      </c>
      <c r="E116" s="18" t="s">
        <v>27</v>
      </c>
      <c r="F116" s="28"/>
      <c r="G116" s="29"/>
      <c r="H116" s="35"/>
      <c r="I116" s="29"/>
      <c r="J116" s="30"/>
      <c r="K116" s="29"/>
      <c r="L116" s="30"/>
      <c r="M116" s="30"/>
      <c r="N116" s="30"/>
      <c r="O116" s="29"/>
      <c r="P116" s="29"/>
    </row>
    <row r="117" spans="1:16" ht="33.75" customHeight="1" x14ac:dyDescent="0.2">
      <c r="A117" s="10" t="s">
        <v>187</v>
      </c>
      <c r="B117" s="13" t="s">
        <v>29</v>
      </c>
      <c r="C117" s="13" t="s">
        <v>188</v>
      </c>
      <c r="D117" s="15" t="str">
        <f>HYPERLINK("https://andrewskurka.com/tag/delorme-inreach/","DeLorme inReach")</f>
        <v>DeLorme inReach</v>
      </c>
      <c r="E117" s="15" t="str">
        <f>HYPERLINK("http://andrewskurka.com/section/how-to/gear-and-supplies/satellite-communication/","Tag: Satellite Communication")</f>
        <v>Tag: Satellite Communication</v>
      </c>
      <c r="F117" s="28"/>
      <c r="G117" s="29"/>
      <c r="H117" s="35"/>
      <c r="I117" s="29"/>
      <c r="J117" s="30"/>
      <c r="K117" s="29"/>
      <c r="L117" s="30"/>
      <c r="M117" s="30"/>
      <c r="N117" s="30"/>
      <c r="O117" s="29"/>
      <c r="P117" s="29"/>
    </row>
    <row r="118" spans="1:16" ht="33.75" customHeight="1" x14ac:dyDescent="0.2">
      <c r="A118" s="22" t="s">
        <v>189</v>
      </c>
      <c r="B118" s="13" t="s">
        <v>29</v>
      </c>
      <c r="C118" s="13" t="s">
        <v>190</v>
      </c>
      <c r="D118" s="13" t="s">
        <v>191</v>
      </c>
      <c r="E118" s="15" t="str">
        <f>HYPERLINK("http://andrewskurka.com/2015/backcountry-first-aid-emergencies-next-sd-live-thurs-aug-20/","First Aid &amp; E-Comm - SD LIVE")</f>
        <v>First Aid &amp; E-Comm - SD LIVE</v>
      </c>
      <c r="F118" s="28"/>
      <c r="G118" s="29"/>
      <c r="H118" s="35"/>
      <c r="I118" s="29"/>
      <c r="J118" s="30"/>
      <c r="K118" s="29"/>
      <c r="L118" s="30"/>
      <c r="M118" s="30"/>
      <c r="N118" s="30"/>
      <c r="O118" s="29"/>
      <c r="P118" s="29"/>
    </row>
    <row r="119" spans="1:16" ht="33.75" customHeight="1" x14ac:dyDescent="0.2">
      <c r="A119" s="10" t="s">
        <v>192</v>
      </c>
      <c r="B119" s="13" t="s">
        <v>23</v>
      </c>
      <c r="C119" s="13" t="s">
        <v>193</v>
      </c>
      <c r="D119" s="15" t="str">
        <f>HYPERLINK("http://amzn.to/2gDkFqR","Anker PowerCore 5000")</f>
        <v>Anker PowerCore 5000</v>
      </c>
      <c r="E119" s="18"/>
      <c r="F119" s="28"/>
      <c r="G119" s="29"/>
      <c r="H119" s="35"/>
      <c r="I119" s="29"/>
      <c r="J119" s="30"/>
      <c r="K119" s="29"/>
      <c r="L119" s="30"/>
      <c r="M119" s="30"/>
      <c r="N119" s="30"/>
      <c r="O119" s="29"/>
      <c r="P119" s="29"/>
    </row>
    <row r="120" spans="1:16" ht="33.75" customHeight="1" x14ac:dyDescent="0.2">
      <c r="A120" s="10" t="s">
        <v>194</v>
      </c>
      <c r="B120" s="13" t="s">
        <v>23</v>
      </c>
      <c r="C120" s="13" t="s">
        <v>195</v>
      </c>
      <c r="D120" s="15" t="str">
        <f>HYPERLINK("https://goo.gl/cqTVgw","Sawyer Premium Picaridin Repellent")</f>
        <v>Sawyer Premium Picaridin Repellent</v>
      </c>
      <c r="E120" s="15" t="str">
        <f>HYPERLINK("http://andrewskurka.com/2015/backpacking-clothing-go-suit-bug-shirt/","Core 13 Clothing: Bug Shirt")</f>
        <v>Core 13 Clothing: Bug Shirt</v>
      </c>
      <c r="F120" s="28"/>
      <c r="G120" s="29"/>
      <c r="H120" s="35"/>
      <c r="I120" s="29"/>
      <c r="J120" s="30"/>
      <c r="K120" s="29"/>
      <c r="L120" s="30"/>
      <c r="M120" s="30"/>
      <c r="N120" s="30"/>
      <c r="O120" s="29"/>
      <c r="P120" s="29"/>
    </row>
    <row r="121" spans="1:16" ht="33.75" customHeight="1" x14ac:dyDescent="0.2">
      <c r="A121" s="10" t="s">
        <v>196</v>
      </c>
      <c r="B121" s="13" t="s">
        <v>32</v>
      </c>
      <c r="C121" s="13" t="s">
        <v>197</v>
      </c>
      <c r="D121" s="15" t="str">
        <f>HYPERLINK("http://amzn.to/2gbDxkz","H2W Paisley Cotton Bandana")</f>
        <v>H2W Paisley Cotton Bandana</v>
      </c>
      <c r="E121" s="18"/>
      <c r="F121" s="20"/>
      <c r="G121" s="13"/>
      <c r="H121" s="23"/>
      <c r="I121" s="13"/>
      <c r="J121" s="21"/>
      <c r="K121" s="13"/>
      <c r="L121" s="21"/>
      <c r="M121" s="21"/>
      <c r="N121" s="21"/>
      <c r="O121" s="13"/>
      <c r="P121" s="13"/>
    </row>
    <row r="122" spans="1:16" ht="33.75" customHeight="1" x14ac:dyDescent="0.2">
      <c r="A122" s="22" t="s">
        <v>198</v>
      </c>
      <c r="B122" s="13" t="s">
        <v>23</v>
      </c>
      <c r="C122" s="13" t="s">
        <v>199</v>
      </c>
      <c r="D122" s="15" t="str">
        <f>HYPERLINK("http://goo.gl/E700Yo","Sea to Summit Mosquito Headnet")</f>
        <v>Sea to Summit Mosquito Headnet</v>
      </c>
      <c r="E122" s="15" t="str">
        <f>HYPERLINK("http://andrewskurka.com/2013/clothing-system-for-backpacking-peak-mosquito-season/","Clothing for peak bug season")</f>
        <v>Clothing for peak bug season</v>
      </c>
      <c r="F122" s="20"/>
      <c r="G122" s="13"/>
      <c r="H122" s="23"/>
      <c r="I122" s="13"/>
      <c r="J122" s="21"/>
      <c r="K122" s="13"/>
      <c r="L122" s="21"/>
      <c r="M122" s="21"/>
      <c r="N122" s="21"/>
      <c r="O122" s="13"/>
      <c r="P122" s="13"/>
    </row>
    <row r="123" spans="1:16" ht="33.75" customHeight="1" x14ac:dyDescent="0.2">
      <c r="A123" s="22" t="s">
        <v>200</v>
      </c>
      <c r="B123" s="13" t="s">
        <v>23</v>
      </c>
      <c r="C123" s="13" t="s">
        <v>201</v>
      </c>
      <c r="D123" s="15" t="str">
        <f>HYPERLINK("https://goo.gl/H67dtx","Counter Assault Bear Deterrent Spray")</f>
        <v>Counter Assault Bear Deterrent Spray</v>
      </c>
      <c r="E123" s="13" t="s">
        <v>27</v>
      </c>
      <c r="F123" s="28"/>
      <c r="G123" s="29"/>
      <c r="H123" s="35"/>
      <c r="I123" s="29"/>
      <c r="J123" s="30"/>
      <c r="K123" s="29"/>
      <c r="L123" s="30"/>
      <c r="M123" s="30"/>
      <c r="N123" s="30"/>
      <c r="O123" s="29"/>
      <c r="P123" s="29"/>
    </row>
    <row r="124" spans="1:16" ht="33.75" customHeight="1" x14ac:dyDescent="0.2">
      <c r="A124" s="10" t="s">
        <v>202</v>
      </c>
      <c r="B124" s="13" t="s">
        <v>32</v>
      </c>
      <c r="C124" s="13" t="s">
        <v>203</v>
      </c>
      <c r="D124" s="15" t="str">
        <f>HYPERLINK("http://goo.gl/UY8mui","Therm-a-Rest Z-Seat")</f>
        <v>Therm-a-Rest Z-Seat</v>
      </c>
      <c r="E124" s="36" t="s">
        <v>27</v>
      </c>
      <c r="F124" s="28"/>
      <c r="G124" s="29"/>
      <c r="H124" s="35"/>
      <c r="I124" s="29"/>
      <c r="J124" s="30"/>
      <c r="K124" s="29"/>
      <c r="L124" s="30"/>
      <c r="M124" s="30"/>
      <c r="N124" s="30"/>
      <c r="O124" s="29"/>
      <c r="P124" s="29"/>
    </row>
    <row r="125" spans="1:16" ht="33.75" customHeight="1" x14ac:dyDescent="0.2">
      <c r="A125" s="10" t="s">
        <v>204</v>
      </c>
      <c r="B125" s="13" t="s">
        <v>23</v>
      </c>
      <c r="C125" s="13" t="s">
        <v>205</v>
      </c>
      <c r="D125" s="15" t="str">
        <f>HYPERLINK("https://amzn.to/2O0EA4w","Aqua Quest Safari Tarp")</f>
        <v>Aqua Quest Safari Tarp</v>
      </c>
      <c r="E125" s="13" t="s">
        <v>27</v>
      </c>
      <c r="F125" s="28"/>
      <c r="G125" s="29"/>
      <c r="H125" s="35"/>
      <c r="I125" s="29"/>
      <c r="J125" s="30"/>
      <c r="K125" s="29"/>
      <c r="L125" s="30"/>
      <c r="M125" s="30"/>
      <c r="N125" s="30"/>
      <c r="O125" s="29"/>
      <c r="P125" s="29"/>
    </row>
    <row r="126" spans="1:16" ht="33.75" customHeight="1" x14ac:dyDescent="0.2">
      <c r="A126" s="13" t="s">
        <v>206</v>
      </c>
      <c r="B126" s="13" t="s">
        <v>23</v>
      </c>
      <c r="C126" s="13" t="s">
        <v>207</v>
      </c>
      <c r="D126" s="15" t="str">
        <f>HYPERLINK("http://goo.gl/qAQy8e","Kahtoola MICROspikes")</f>
        <v>Kahtoola MICROspikes</v>
      </c>
      <c r="E126" s="15" t="str">
        <f>HYPERLINK("https://andrewskurka.com/2018/kahtoola-crampons-buyers-guide-differences/","Buyer's Guide: Kahtoola traction")</f>
        <v>Buyer's Guide: Kahtoola traction</v>
      </c>
      <c r="F126" s="28"/>
      <c r="G126" s="29"/>
      <c r="H126" s="35"/>
      <c r="I126" s="29"/>
      <c r="J126" s="30"/>
      <c r="K126" s="29"/>
      <c r="L126" s="30"/>
      <c r="M126" s="30"/>
      <c r="N126" s="30"/>
      <c r="O126" s="29"/>
      <c r="P126" s="29"/>
    </row>
    <row r="127" spans="1:16" ht="33.75" customHeight="1" x14ac:dyDescent="0.2">
      <c r="A127" s="13" t="s">
        <v>208</v>
      </c>
      <c r="B127" s="13" t="s">
        <v>23</v>
      </c>
      <c r="C127" s="13" t="s">
        <v>209</v>
      </c>
      <c r="D127" s="15" t="str">
        <f>HYPERLINK("http://goo.gl/31IuLq","CAMP USA Corsa Ice Axe")</f>
        <v>CAMP USA Corsa Ice Axe</v>
      </c>
      <c r="E127" s="13" t="s">
        <v>27</v>
      </c>
      <c r="F127" s="28"/>
      <c r="G127" s="29"/>
      <c r="H127" s="35"/>
      <c r="I127" s="29"/>
      <c r="J127" s="30"/>
      <c r="K127" s="29"/>
      <c r="L127" s="30"/>
      <c r="M127" s="30"/>
      <c r="N127" s="30"/>
      <c r="O127" s="29"/>
      <c r="P127" s="29"/>
    </row>
    <row r="128" spans="1:16" ht="33.75" customHeight="1" x14ac:dyDescent="0.2">
      <c r="A128" s="37"/>
      <c r="B128" s="37"/>
      <c r="C128" s="37"/>
      <c r="D128" s="37"/>
      <c r="E128" s="37"/>
      <c r="F128" s="38"/>
      <c r="G128" s="39" t="s">
        <v>48</v>
      </c>
      <c r="H128" s="40">
        <f>SUM(H112:H127)</f>
        <v>0</v>
      </c>
      <c r="I128" s="37"/>
      <c r="J128" s="37"/>
      <c r="K128" s="37"/>
      <c r="L128" s="37"/>
      <c r="M128" s="37"/>
      <c r="N128" s="37"/>
      <c r="O128" s="37"/>
      <c r="P128" s="37"/>
    </row>
    <row r="129" spans="1:16" ht="15.75" customHeight="1" x14ac:dyDescent="0.2">
      <c r="A129" s="24"/>
      <c r="B129" s="25"/>
      <c r="C129" s="25"/>
      <c r="D129" s="25"/>
      <c r="E129" s="25"/>
      <c r="F129" s="26"/>
      <c r="G129" s="33"/>
      <c r="H129" s="34"/>
      <c r="I129" s="25"/>
      <c r="J129" s="27"/>
      <c r="K129" s="25"/>
      <c r="L129" s="27"/>
      <c r="M129" s="27"/>
      <c r="N129" s="27"/>
      <c r="O129" s="25"/>
      <c r="P129" s="25"/>
    </row>
    <row r="130" spans="1:16" ht="26.25" customHeight="1" x14ac:dyDescent="0.2">
      <c r="A130" s="1" t="s">
        <v>210</v>
      </c>
      <c r="B130" s="2"/>
      <c r="C130" s="2"/>
      <c r="D130" s="2"/>
      <c r="E130" s="5"/>
      <c r="F130" s="3" t="str">
        <f>A130</f>
        <v>PERSONAL ITEMS</v>
      </c>
      <c r="G130" s="9"/>
      <c r="H130" s="11"/>
      <c r="I130" s="9"/>
      <c r="J130" s="4"/>
      <c r="K130" s="9"/>
      <c r="L130" s="4"/>
      <c r="M130" s="4"/>
      <c r="N130" s="4"/>
      <c r="O130" s="9"/>
      <c r="P130" s="12"/>
    </row>
    <row r="131" spans="1:16" ht="26.25" customHeight="1" x14ac:dyDescent="0.2">
      <c r="A131" s="6" t="s">
        <v>1</v>
      </c>
      <c r="B131" s="6" t="s">
        <v>5</v>
      </c>
      <c r="C131" s="6" t="s">
        <v>3</v>
      </c>
      <c r="D131" s="6" t="s">
        <v>4</v>
      </c>
      <c r="E131" s="6" t="s">
        <v>9</v>
      </c>
      <c r="F131" s="7" t="s">
        <v>5</v>
      </c>
      <c r="G131" s="8" t="s">
        <v>10</v>
      </c>
      <c r="H131" s="14" t="s">
        <v>11</v>
      </c>
      <c r="I131" s="8" t="s">
        <v>13</v>
      </c>
      <c r="J131" s="7" t="s">
        <v>14</v>
      </c>
      <c r="K131" s="8" t="s">
        <v>15</v>
      </c>
      <c r="L131" s="7" t="s">
        <v>16</v>
      </c>
      <c r="M131" s="7" t="s">
        <v>17</v>
      </c>
      <c r="N131" s="8" t="s">
        <v>6</v>
      </c>
      <c r="O131" s="8" t="s">
        <v>18</v>
      </c>
      <c r="P131" s="8" t="s">
        <v>19</v>
      </c>
    </row>
    <row r="132" spans="1:16" ht="33.75" customHeight="1" x14ac:dyDescent="0.2">
      <c r="A132" s="10" t="s">
        <v>211</v>
      </c>
      <c r="B132" s="13" t="s">
        <v>29</v>
      </c>
      <c r="C132" s="13" t="s">
        <v>212</v>
      </c>
      <c r="D132" s="13" t="s">
        <v>213</v>
      </c>
      <c r="E132" s="13" t="s">
        <v>27</v>
      </c>
      <c r="F132" s="28"/>
      <c r="G132" s="29"/>
      <c r="H132" s="35"/>
      <c r="I132" s="29"/>
      <c r="J132" s="30"/>
      <c r="K132" s="29"/>
      <c r="L132" s="30"/>
      <c r="M132" s="30"/>
      <c r="N132" s="30"/>
      <c r="O132" s="29"/>
      <c r="P132" s="29"/>
    </row>
    <row r="133" spans="1:16" ht="33.75" customHeight="1" x14ac:dyDescent="0.2">
      <c r="A133" s="10" t="s">
        <v>214</v>
      </c>
      <c r="B133" s="13" t="s">
        <v>29</v>
      </c>
      <c r="C133" s="13" t="s">
        <v>215</v>
      </c>
      <c r="D133" s="15" t="str">
        <f>HYPERLINK("http://amzn.to/1SM0baq","Charmin Ultra Soft")</f>
        <v>Charmin Ultra Soft</v>
      </c>
      <c r="E133" s="15" t="str">
        <f>HYPERLINK("http://andrewskurka.com/tag/how-to-poop-in-the-outdoors-woods-perform-backcountry-bidget/","Tutorial: How to poop in the woods")</f>
        <v>Tutorial: How to poop in the woods</v>
      </c>
      <c r="F133" s="28"/>
      <c r="G133" s="29"/>
      <c r="H133" s="35"/>
      <c r="I133" s="29"/>
      <c r="J133" s="30"/>
      <c r="K133" s="29"/>
      <c r="L133" s="30"/>
      <c r="M133" s="30"/>
      <c r="N133" s="30"/>
      <c r="O133" s="29"/>
      <c r="P133" s="29"/>
    </row>
    <row r="134" spans="1:16" ht="33.75" customHeight="1" x14ac:dyDescent="0.2">
      <c r="A134" s="10" t="s">
        <v>216</v>
      </c>
      <c r="B134" s="13" t="s">
        <v>32</v>
      </c>
      <c r="C134" s="13" t="s">
        <v>217</v>
      </c>
      <c r="D134" s="15" t="str">
        <f>HYPERLINK("http://goo.gl/JFbLkR","Sani-Fem Freshette Urinary Director")</f>
        <v>Sani-Fem Freshette Urinary Director</v>
      </c>
      <c r="E134" s="13" t="s">
        <v>27</v>
      </c>
      <c r="F134" s="28"/>
      <c r="G134" s="29"/>
      <c r="H134" s="35"/>
      <c r="I134" s="29"/>
      <c r="J134" s="30"/>
      <c r="K134" s="29"/>
      <c r="L134" s="30"/>
      <c r="M134" s="30"/>
      <c r="N134" s="30"/>
      <c r="O134" s="29"/>
      <c r="P134" s="29"/>
    </row>
    <row r="135" spans="1:16" ht="33.75" customHeight="1" x14ac:dyDescent="0.2">
      <c r="A135" s="22" t="s">
        <v>218</v>
      </c>
      <c r="B135" s="13" t="s">
        <v>8</v>
      </c>
      <c r="C135" s="13" t="s">
        <v>219</v>
      </c>
      <c r="D135" s="15" t="str">
        <f>HYPERLINK("https://www.uline.com/Product/Detail/S-17078/Bottles/Natural-Cylinder-Bottles-1-oz-Flip-Top-Cap","Purell in 1-oz bottle w/squirt cap")</f>
        <v>Purell in 1-oz bottle w/squirt cap</v>
      </c>
      <c r="E135" s="13" t="s">
        <v>27</v>
      </c>
      <c r="F135" s="28"/>
      <c r="G135" s="29"/>
      <c r="H135" s="35"/>
      <c r="I135" s="29"/>
      <c r="J135" s="30"/>
      <c r="K135" s="29"/>
      <c r="L135" s="30"/>
      <c r="M135" s="30"/>
      <c r="N135" s="30"/>
      <c r="O135" s="29"/>
      <c r="P135" s="29"/>
    </row>
    <row r="136" spans="1:16" ht="33.75" customHeight="1" x14ac:dyDescent="0.2">
      <c r="A136" s="10" t="s">
        <v>220</v>
      </c>
      <c r="B136" s="13" t="s">
        <v>23</v>
      </c>
      <c r="C136" s="13" t="s">
        <v>221</v>
      </c>
      <c r="D136" s="18" t="s">
        <v>222</v>
      </c>
      <c r="E136" s="15" t="str">
        <f>HYPERLINK("http://andrewskurka.com/2013/female-hygiene-guide-tips/","Female hygiene: Guide and tips")</f>
        <v>Female hygiene: Guide and tips</v>
      </c>
      <c r="F136" s="28"/>
      <c r="G136" s="29"/>
      <c r="H136" s="35"/>
      <c r="I136" s="29"/>
      <c r="J136" s="30"/>
      <c r="K136" s="29"/>
      <c r="L136" s="30"/>
      <c r="M136" s="30"/>
      <c r="N136" s="30"/>
      <c r="O136" s="29"/>
      <c r="P136" s="29"/>
    </row>
    <row r="137" spans="1:16" ht="33.75" customHeight="1" x14ac:dyDescent="0.2">
      <c r="A137" s="10" t="s">
        <v>223</v>
      </c>
      <c r="B137" s="13" t="s">
        <v>29</v>
      </c>
      <c r="C137" s="13" t="s">
        <v>224</v>
      </c>
      <c r="D137" s="15" t="str">
        <f>HYPERLINK("https://amzn.to/2Txjy3v","Neutrogena Beach Defense 70 spf")</f>
        <v>Neutrogena Beach Defense 70 spf</v>
      </c>
      <c r="E137" s="13" t="s">
        <v>27</v>
      </c>
      <c r="F137" s="28"/>
      <c r="G137" s="29"/>
      <c r="H137" s="35"/>
      <c r="I137" s="29"/>
      <c r="J137" s="30"/>
      <c r="K137" s="29"/>
      <c r="L137" s="30"/>
      <c r="M137" s="30"/>
      <c r="N137" s="30"/>
      <c r="O137" s="29"/>
      <c r="P137" s="29"/>
    </row>
    <row r="138" spans="1:16" ht="33.75" customHeight="1" x14ac:dyDescent="0.2">
      <c r="A138" s="10" t="s">
        <v>225</v>
      </c>
      <c r="B138" s="13" t="s">
        <v>23</v>
      </c>
      <c r="C138" s="13" t="s">
        <v>226</v>
      </c>
      <c r="D138" s="18" t="s">
        <v>227</v>
      </c>
      <c r="E138" s="13" t="s">
        <v>27</v>
      </c>
      <c r="F138" s="28"/>
      <c r="G138" s="29"/>
      <c r="H138" s="35"/>
      <c r="I138" s="29"/>
      <c r="J138" s="30"/>
      <c r="K138" s="29"/>
      <c r="L138" s="30"/>
      <c r="M138" s="30"/>
      <c r="N138" s="30"/>
      <c r="O138" s="29"/>
      <c r="P138" s="29"/>
    </row>
    <row r="139" spans="1:16" ht="33.75" customHeight="1" x14ac:dyDescent="0.2">
      <c r="A139" s="10" t="s">
        <v>228</v>
      </c>
      <c r="B139" s="13" t="s">
        <v>29</v>
      </c>
      <c r="C139" s="13" t="s">
        <v>229</v>
      </c>
      <c r="D139" s="15" t="str">
        <f>HYPERLINK("https://amzn.to/2XW7V4E","Canon G9X Mark II")</f>
        <v>Canon G9X Mark II</v>
      </c>
      <c r="E139" s="15" t="str">
        <f>HYPERLINK("https://andrewskurka.com/2017/buyers-guide-backpacking-cameras/","Guide: Cameras for backpacking")</f>
        <v>Guide: Cameras for backpacking</v>
      </c>
      <c r="F139" s="28"/>
      <c r="G139" s="29"/>
      <c r="H139" s="35"/>
      <c r="I139" s="29"/>
      <c r="J139" s="30"/>
      <c r="K139" s="29"/>
      <c r="L139" s="30"/>
      <c r="M139" s="30"/>
      <c r="N139" s="30"/>
      <c r="O139" s="29"/>
      <c r="P139" s="29"/>
    </row>
    <row r="140" spans="1:16" ht="33.75" customHeight="1" x14ac:dyDescent="0.2">
      <c r="A140" s="10" t="s">
        <v>230</v>
      </c>
      <c r="B140" s="13" t="s">
        <v>32</v>
      </c>
      <c r="C140" s="13" t="s">
        <v>231</v>
      </c>
      <c r="D140" s="15" t="str">
        <f>HYPERLINK("http://amzn.to/2eGd8pv","Amazon Kindle Paperwhite")</f>
        <v>Amazon Kindle Paperwhite</v>
      </c>
      <c r="E140" s="13"/>
      <c r="F140" s="28"/>
      <c r="G140" s="29"/>
      <c r="H140" s="35"/>
      <c r="I140" s="29"/>
      <c r="J140" s="30"/>
      <c r="K140" s="29"/>
      <c r="L140" s="30"/>
      <c r="M140" s="30"/>
      <c r="N140" s="30"/>
      <c r="O140" s="29"/>
      <c r="P140" s="29"/>
    </row>
    <row r="141" spans="1:16" ht="33.75" customHeight="1" x14ac:dyDescent="0.2">
      <c r="A141" s="22" t="s">
        <v>232</v>
      </c>
      <c r="B141" s="13" t="s">
        <v>29</v>
      </c>
      <c r="C141" s="13" t="s">
        <v>233</v>
      </c>
      <c r="D141" s="15" t="str">
        <f>HYPERLINK("https://goo.gl/593JgT","Chums Surfshorts Wallet")</f>
        <v>Chums Surfshorts Wallet</v>
      </c>
      <c r="E141" s="13" t="s">
        <v>27</v>
      </c>
      <c r="F141" s="28"/>
      <c r="G141" s="29"/>
      <c r="H141" s="35"/>
      <c r="I141" s="29"/>
      <c r="J141" s="30"/>
      <c r="K141" s="29"/>
      <c r="L141" s="30"/>
      <c r="M141" s="30"/>
      <c r="N141" s="30"/>
      <c r="O141" s="29"/>
      <c r="P141" s="29"/>
    </row>
    <row r="142" spans="1:16" ht="33.75" customHeight="1" x14ac:dyDescent="0.2">
      <c r="A142" s="37"/>
      <c r="B142" s="37"/>
      <c r="C142" s="37"/>
      <c r="D142" s="37"/>
      <c r="E142" s="37"/>
      <c r="F142" s="38"/>
      <c r="G142" s="39" t="s">
        <v>48</v>
      </c>
      <c r="H142" s="40">
        <f>SUM(H132:H141)</f>
        <v>0</v>
      </c>
      <c r="I142" s="37"/>
      <c r="J142" s="37"/>
      <c r="K142" s="37"/>
      <c r="L142" s="37"/>
      <c r="M142" s="37"/>
      <c r="N142" s="37"/>
      <c r="O142" s="37"/>
      <c r="P142" s="37"/>
    </row>
    <row r="143" spans="1:16" ht="15.75" customHeight="1" x14ac:dyDescent="0.2">
      <c r="A143" s="41"/>
      <c r="B143" s="42"/>
      <c r="C143" s="42"/>
      <c r="D143" s="43"/>
      <c r="E143" s="42"/>
      <c r="F143" s="26"/>
      <c r="G143" s="25"/>
      <c r="H143" s="44"/>
      <c r="I143" s="25"/>
      <c r="J143" s="27"/>
      <c r="K143" s="25"/>
      <c r="L143" s="27"/>
      <c r="M143" s="27"/>
      <c r="N143" s="27"/>
      <c r="O143" s="25"/>
      <c r="P143" s="25"/>
    </row>
    <row r="144" spans="1:16" ht="22.5" customHeight="1" x14ac:dyDescent="0.2">
      <c r="A144" s="41"/>
      <c r="B144" s="42"/>
      <c r="C144" s="42"/>
      <c r="D144" s="43"/>
      <c r="E144" s="42"/>
      <c r="F144" s="26"/>
      <c r="G144" s="31" t="s">
        <v>236</v>
      </c>
      <c r="H144" s="23"/>
      <c r="I144" s="13" t="s">
        <v>237</v>
      </c>
      <c r="J144" s="27"/>
      <c r="K144" s="25"/>
      <c r="L144" s="27"/>
      <c r="M144" s="27"/>
      <c r="N144" s="27"/>
      <c r="O144" s="25"/>
      <c r="P144" s="25"/>
    </row>
    <row r="145" spans="1:16" ht="22.5" customHeight="1" x14ac:dyDescent="0.2">
      <c r="A145" s="41"/>
      <c r="B145" s="42"/>
      <c r="C145" s="42"/>
      <c r="D145" s="43"/>
      <c r="E145" s="42"/>
      <c r="F145" s="26"/>
      <c r="G145" s="45" t="s">
        <v>238</v>
      </c>
      <c r="H145" s="46">
        <f>H144</f>
        <v>0</v>
      </c>
      <c r="I145" s="46" t="str">
        <f>IF(H144="","",IF(H144="Ounces","Pounds","Kilograms"))</f>
        <v/>
      </c>
      <c r="J145" s="27"/>
      <c r="K145" s="25"/>
      <c r="L145" s="27"/>
      <c r="M145" s="27"/>
      <c r="N145" s="27"/>
      <c r="O145" s="25"/>
      <c r="P145" s="25"/>
    </row>
    <row r="146" spans="1:16" ht="33.75" customHeight="1" x14ac:dyDescent="0.2">
      <c r="A146" s="41"/>
      <c r="B146" s="42"/>
      <c r="C146" s="42"/>
      <c r="D146" s="43"/>
      <c r="E146" s="42"/>
      <c r="F146" s="26"/>
      <c r="G146" s="31" t="s">
        <v>239</v>
      </c>
      <c r="H146" s="32">
        <f>H12+SUM(H16:H18)</f>
        <v>0</v>
      </c>
      <c r="I146" s="32" t="str">
        <f t="shared" ref="I146:I148" si="1">IF(H$144="","",IF(H$144="Ounces",H146/16,H146/1000))</f>
        <v/>
      </c>
      <c r="J146" s="27"/>
      <c r="K146" s="25"/>
      <c r="L146" s="27"/>
      <c r="M146" s="27"/>
      <c r="N146" s="27"/>
      <c r="O146" s="25"/>
      <c r="P146" s="25"/>
    </row>
    <row r="147" spans="1:16" ht="33.75" customHeight="1" x14ac:dyDescent="0.2">
      <c r="A147" s="41"/>
      <c r="B147" s="42"/>
      <c r="C147" s="42"/>
      <c r="D147" s="43"/>
      <c r="E147" s="42"/>
      <c r="F147" s="26"/>
      <c r="G147" s="31" t="s">
        <v>240</v>
      </c>
      <c r="H147" s="32">
        <f>(SUM(H19:H21)+H34+H44+H55+H65+H73+H88+H96+H108+H128+H142)</f>
        <v>0</v>
      </c>
      <c r="I147" s="32" t="str">
        <f t="shared" si="1"/>
        <v/>
      </c>
      <c r="J147" s="27"/>
      <c r="K147" s="25"/>
      <c r="L147" s="27"/>
      <c r="M147" s="27"/>
      <c r="N147" s="27"/>
      <c r="O147" s="25"/>
      <c r="P147" s="25"/>
    </row>
    <row r="148" spans="1:16" ht="33.75" customHeight="1" x14ac:dyDescent="0.2">
      <c r="A148" s="41"/>
      <c r="B148" s="42"/>
      <c r="C148" s="42"/>
      <c r="D148" s="43"/>
      <c r="E148" s="42"/>
      <c r="F148" s="26"/>
      <c r="G148" s="47" t="s">
        <v>241</v>
      </c>
      <c r="H148" s="48">
        <f>H146+H147</f>
        <v>0</v>
      </c>
      <c r="I148" s="48" t="str">
        <f t="shared" si="1"/>
        <v/>
      </c>
      <c r="J148" s="27"/>
      <c r="K148" s="25"/>
      <c r="L148" s="27"/>
      <c r="M148" s="27"/>
      <c r="N148" s="27"/>
      <c r="O148" s="25"/>
      <c r="P148" s="25"/>
    </row>
  </sheetData>
  <conditionalFormatting sqref="A3:P11 A16:P21 A26:P33 A38:P43 A48:P54 A59:P64 A69:P72 A77:P87 A92:P95 A100:P107 A112:P127 A132:P141">
    <cfRule type="expression" dxfId="1" priority="1">
      <formula>ISEVEN(ROW())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140"/>
  <sheetViews>
    <sheetView workbookViewId="0"/>
  </sheetViews>
  <sheetFormatPr defaultColWidth="14.42578125" defaultRowHeight="12.75" customHeight="1" x14ac:dyDescent="0.2"/>
  <cols>
    <col min="1" max="1" width="13.7109375" customWidth="1"/>
    <col min="2" max="2" width="11.5703125" customWidth="1"/>
    <col min="3" max="3" width="25.140625" customWidth="1"/>
    <col min="4" max="4" width="21.5703125" customWidth="1"/>
    <col min="5" max="5" width="14.42578125" customWidth="1"/>
    <col min="6" max="6" width="28.7109375" customWidth="1"/>
  </cols>
  <sheetData>
    <row r="1" spans="1:6" ht="26.25" customHeight="1" x14ac:dyDescent="0.2">
      <c r="A1" s="1" t="s">
        <v>0</v>
      </c>
      <c r="B1" s="2"/>
      <c r="C1" s="2"/>
      <c r="D1" s="2"/>
      <c r="E1" s="3" t="str">
        <f>A1</f>
        <v>GO SUIT CLOTHING + ITEMS WORN</v>
      </c>
      <c r="F1" s="4"/>
    </row>
    <row r="2" spans="1:6" ht="26.25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spans="1:6" ht="33.75" customHeight="1" x14ac:dyDescent="0.2">
      <c r="A3" s="10" t="s">
        <v>7</v>
      </c>
      <c r="B3" s="13" t="s">
        <v>8</v>
      </c>
      <c r="C3" s="13" t="s">
        <v>12</v>
      </c>
      <c r="D3" s="15" t="str">
        <f>HYPERLINK("https://goo.gl/JipDe6","Patagonia Capilene LW Zip")</f>
        <v>Patagonia Capilene LW Zip</v>
      </c>
      <c r="E3" s="16"/>
      <c r="F3" s="17"/>
    </row>
    <row r="4" spans="1:6" ht="33.75" customHeight="1" x14ac:dyDescent="0.2">
      <c r="A4" s="10" t="s">
        <v>20</v>
      </c>
      <c r="B4" s="13" t="s">
        <v>8</v>
      </c>
      <c r="C4" s="13" t="s">
        <v>21</v>
      </c>
      <c r="D4" s="15" t="str">
        <f>HYPERLINK("https://goo.gl/KCYxa3","Patagonia Strider Pro 5-in")</f>
        <v>Patagonia Strider Pro 5-in</v>
      </c>
      <c r="E4" s="16"/>
      <c r="F4" s="17"/>
    </row>
    <row r="5" spans="1:6" ht="33.75" customHeight="1" x14ac:dyDescent="0.2">
      <c r="A5" s="10" t="s">
        <v>22</v>
      </c>
      <c r="B5" s="13" t="s">
        <v>23</v>
      </c>
      <c r="C5" s="13" t="s">
        <v>24</v>
      </c>
      <c r="D5" s="15" t="str">
        <f>HYPERLINK("http://amzn.to/2njtoCp","Saxx Kinetic Boxer Briefs")</f>
        <v>Saxx Kinetic Boxer Briefs</v>
      </c>
      <c r="E5" s="16"/>
      <c r="F5" s="17"/>
    </row>
    <row r="6" spans="1:6" ht="33.75" customHeight="1" x14ac:dyDescent="0.2">
      <c r="A6" s="10" t="s">
        <v>25</v>
      </c>
      <c r="B6" s="13" t="s">
        <v>23</v>
      </c>
      <c r="C6" s="13" t="s">
        <v>26</v>
      </c>
      <c r="D6" s="15" t="str">
        <f>HYPERLINK("https://goo.gl/7BbY46","Brooks Fiona Sports Bra")</f>
        <v>Brooks Fiona Sports Bra</v>
      </c>
      <c r="E6" s="20"/>
      <c r="F6" s="21"/>
    </row>
    <row r="7" spans="1:6" ht="33.75" customHeight="1" x14ac:dyDescent="0.2">
      <c r="A7" s="22" t="s">
        <v>28</v>
      </c>
      <c r="B7" s="13" t="s">
        <v>29</v>
      </c>
      <c r="C7" s="13" t="s">
        <v>30</v>
      </c>
      <c r="D7" s="15" t="str">
        <f>HYPERLINK("https://amzn.to/2Hospv8","Headsweats ProTech")</f>
        <v>Headsweats ProTech</v>
      </c>
      <c r="E7" s="20"/>
      <c r="F7" s="21"/>
    </row>
    <row r="8" spans="1:6" ht="33.75" customHeight="1" x14ac:dyDescent="0.2">
      <c r="A8" s="10" t="s">
        <v>31</v>
      </c>
      <c r="B8" s="13" t="s">
        <v>32</v>
      </c>
      <c r="C8" s="13" t="s">
        <v>33</v>
      </c>
      <c r="D8" s="15" t="str">
        <f>HYPERLINK("https://andrewskurka.com/2018/review-glacier-glove-ascension-bay-sun-glove-backpacking/","Glacier Glove Sunglove")</f>
        <v>Glacier Glove Sunglove</v>
      </c>
      <c r="E8" s="20"/>
      <c r="F8" s="21"/>
    </row>
    <row r="9" spans="1:6" ht="33.75" customHeight="1" x14ac:dyDescent="0.2">
      <c r="A9" s="22" t="s">
        <v>34</v>
      </c>
      <c r="B9" s="13" t="s">
        <v>23</v>
      </c>
      <c r="C9" s="13" t="s">
        <v>35</v>
      </c>
      <c r="D9" s="15" t="str">
        <f>HYPERLINK("http://andrewskurka.com/2016/long-term-review-julbo-dirt-sunglasses-photochromic-polarized/","Julbo Dirt")</f>
        <v>Julbo Dirt</v>
      </c>
      <c r="E9" s="20"/>
      <c r="F9" s="21"/>
    </row>
    <row r="10" spans="1:6" ht="33.75" customHeight="1" x14ac:dyDescent="0.2">
      <c r="A10" s="10" t="s">
        <v>36</v>
      </c>
      <c r="B10" s="13" t="s">
        <v>23</v>
      </c>
      <c r="C10" s="13" t="s">
        <v>37</v>
      </c>
      <c r="D10" s="18" t="s">
        <v>38</v>
      </c>
      <c r="E10" s="20"/>
      <c r="F10" s="21"/>
    </row>
    <row r="11" spans="1:6" ht="33.75" customHeight="1" x14ac:dyDescent="0.2">
      <c r="A11" s="22" t="s">
        <v>39</v>
      </c>
      <c r="B11" s="13" t="s">
        <v>8</v>
      </c>
      <c r="C11" s="13" t="s">
        <v>40</v>
      </c>
      <c r="D11" s="15" t="str">
        <f>HYPERLINK("https://andrewskurka.com/2015/black-diamond-alpine-carbon-cork-trekking-poles-review/","Black Diamond Alpine Carbon Cork")</f>
        <v>Black Diamond Alpine Carbon Cork</v>
      </c>
      <c r="E11" s="20"/>
      <c r="F11" s="21"/>
    </row>
    <row r="12" spans="1:6" ht="33.75" customHeight="1" x14ac:dyDescent="0.2">
      <c r="A12" s="24"/>
      <c r="B12" s="25"/>
      <c r="C12" s="25"/>
      <c r="D12" s="25"/>
      <c r="E12" s="26"/>
      <c r="F12" s="27"/>
    </row>
    <row r="13" spans="1:6" ht="15.75" customHeight="1" x14ac:dyDescent="0.2">
      <c r="A13" s="24"/>
      <c r="B13" s="25"/>
      <c r="C13" s="25"/>
      <c r="D13" s="25"/>
      <c r="E13" s="26"/>
      <c r="F13" s="27"/>
    </row>
    <row r="14" spans="1:6" ht="26.25" customHeight="1" x14ac:dyDescent="0.2">
      <c r="A14" s="1" t="s">
        <v>41</v>
      </c>
      <c r="B14" s="2"/>
      <c r="C14" s="2"/>
      <c r="D14" s="2"/>
      <c r="E14" s="3" t="str">
        <f>A14</f>
        <v>FOOTWEAR</v>
      </c>
      <c r="F14" s="4"/>
    </row>
    <row r="15" spans="1:6" ht="26.25" customHeight="1" x14ac:dyDescent="0.2">
      <c r="A15" s="6" t="s">
        <v>1</v>
      </c>
      <c r="B15" s="6" t="s">
        <v>2</v>
      </c>
      <c r="C15" s="6" t="s">
        <v>3</v>
      </c>
      <c r="D15" s="6" t="s">
        <v>4</v>
      </c>
      <c r="E15" s="7" t="s">
        <v>5</v>
      </c>
      <c r="F15" s="8" t="s">
        <v>6</v>
      </c>
    </row>
    <row r="16" spans="1:6" ht="33.75" customHeight="1" x14ac:dyDescent="0.2">
      <c r="A16" s="22" t="s">
        <v>42</v>
      </c>
      <c r="B16" s="13" t="s">
        <v>8</v>
      </c>
      <c r="C16" s="13" t="s">
        <v>43</v>
      </c>
      <c r="D16" s="15" t="str">
        <f>HYPERLINK("https://andrewskurka.com/2017/review-la-sportiva-bushido-high-route-backpacking/","La Sportiva Bushido")</f>
        <v>La Sportiva Bushido</v>
      </c>
      <c r="E16" s="28"/>
      <c r="F16" s="30"/>
    </row>
    <row r="17" spans="1:6" ht="33.75" customHeight="1" x14ac:dyDescent="0.2">
      <c r="A17" s="22" t="s">
        <v>44</v>
      </c>
      <c r="B17" s="13" t="s">
        <v>29</v>
      </c>
      <c r="C17" s="13" t="s">
        <v>45</v>
      </c>
      <c r="D17" s="15" t="str">
        <f>HYPERLINK("http://www.simblissity.net/levagaiter.htm","Simblissity Levagaiter")</f>
        <v>Simblissity Levagaiter</v>
      </c>
      <c r="E17" s="28"/>
      <c r="F17" s="30"/>
    </row>
    <row r="18" spans="1:6" ht="33.75" customHeight="1" x14ac:dyDescent="0.2">
      <c r="A18" s="10" t="s">
        <v>46</v>
      </c>
      <c r="B18" s="13" t="s">
        <v>8</v>
      </c>
      <c r="C18" s="13" t="s">
        <v>47</v>
      </c>
      <c r="D18" s="15" t="str">
        <f t="shared" ref="D18:D19" si="0">HYPERLINK("https://andrewskurka.com/2018/long-term-review-defeet-wooleator-sock/","DeFeet Wooleator")</f>
        <v>DeFeet Wooleator</v>
      </c>
      <c r="E18" s="20"/>
      <c r="F18" s="21"/>
    </row>
    <row r="19" spans="1:6" ht="33.75" customHeight="1" x14ac:dyDescent="0.2">
      <c r="A19" s="10" t="s">
        <v>49</v>
      </c>
      <c r="B19" s="13" t="s">
        <v>23</v>
      </c>
      <c r="C19" s="13" t="s">
        <v>50</v>
      </c>
      <c r="D19" s="15" t="str">
        <f t="shared" si="0"/>
        <v>DeFeet Wooleator</v>
      </c>
      <c r="E19" s="20"/>
      <c r="F19" s="21"/>
    </row>
    <row r="20" spans="1:6" ht="33.75" customHeight="1" x14ac:dyDescent="0.2">
      <c r="A20" s="10" t="s">
        <v>51</v>
      </c>
      <c r="B20" s="13" t="s">
        <v>23</v>
      </c>
      <c r="C20" s="13" t="s">
        <v>52</v>
      </c>
      <c r="D20" s="18" t="s">
        <v>53</v>
      </c>
      <c r="E20" s="28"/>
      <c r="F20" s="30"/>
    </row>
    <row r="21" spans="1:6" ht="33.75" customHeight="1" x14ac:dyDescent="0.2">
      <c r="A21" s="10" t="s">
        <v>54</v>
      </c>
      <c r="B21" s="13" t="s">
        <v>23</v>
      </c>
      <c r="C21" s="13" t="s">
        <v>55</v>
      </c>
      <c r="D21" s="15" t="str">
        <f>HYPERLINK("https://amzn.to/2Tx6CdX","DeFeet Woolie Boolie")</f>
        <v>DeFeet Woolie Boolie</v>
      </c>
      <c r="E21" s="28"/>
      <c r="F21" s="30"/>
    </row>
    <row r="22" spans="1:6" ht="33.75" customHeight="1" x14ac:dyDescent="0.2">
      <c r="A22" s="24"/>
      <c r="B22" s="25"/>
      <c r="C22" s="25"/>
      <c r="D22" s="25"/>
      <c r="E22" s="26"/>
      <c r="F22" s="27"/>
    </row>
    <row r="23" spans="1:6" ht="15.75" customHeight="1" x14ac:dyDescent="0.2">
      <c r="A23" s="24"/>
      <c r="B23" s="25"/>
      <c r="C23" s="25"/>
      <c r="D23" s="25"/>
      <c r="E23" s="26"/>
      <c r="F23" s="27"/>
    </row>
    <row r="24" spans="1:6" ht="26.25" customHeight="1" x14ac:dyDescent="0.2">
      <c r="A24" s="1" t="s">
        <v>56</v>
      </c>
      <c r="B24" s="2"/>
      <c r="C24" s="2"/>
      <c r="D24" s="2"/>
      <c r="E24" s="3" t="str">
        <f>A24</f>
        <v>CLOTHING: ELEMENT PROTECTION</v>
      </c>
      <c r="F24" s="4"/>
    </row>
    <row r="25" spans="1:6" ht="26.25" customHeight="1" x14ac:dyDescent="0.2">
      <c r="A25" s="6" t="s">
        <v>1</v>
      </c>
      <c r="B25" s="6" t="s">
        <v>2</v>
      </c>
      <c r="C25" s="6" t="s">
        <v>3</v>
      </c>
      <c r="D25" s="6" t="s">
        <v>4</v>
      </c>
      <c r="E25" s="7" t="s">
        <v>5</v>
      </c>
      <c r="F25" s="8" t="s">
        <v>6</v>
      </c>
    </row>
    <row r="26" spans="1:6" ht="33.75" customHeight="1" x14ac:dyDescent="0.2">
      <c r="A26" s="10" t="s">
        <v>57</v>
      </c>
      <c r="B26" s="13" t="s">
        <v>23</v>
      </c>
      <c r="C26" s="13" t="s">
        <v>58</v>
      </c>
      <c r="D26" s="15" t="str">
        <f>HYPERLINK("https://andrewskurka.com/2018/review-packa-rain-jacket-poncho-pack-cover/","The Packa")</f>
        <v>The Packa</v>
      </c>
      <c r="E26" s="28"/>
      <c r="F26" s="30"/>
    </row>
    <row r="27" spans="1:6" ht="33.75" customHeight="1" x14ac:dyDescent="0.2">
      <c r="A27" s="10" t="s">
        <v>59</v>
      </c>
      <c r="B27" s="13" t="s">
        <v>23</v>
      </c>
      <c r="C27" s="13" t="s">
        <v>60</v>
      </c>
      <c r="D27" s="15" t="str">
        <f>HYPERLINK("https://goo.gl/9PZNTb","Outdoor Research Helium Rain Pants")</f>
        <v>Outdoor Research Helium Rain Pants</v>
      </c>
      <c r="E27" s="28"/>
      <c r="F27" s="30"/>
    </row>
    <row r="28" spans="1:6" ht="33.75" customHeight="1" x14ac:dyDescent="0.2">
      <c r="A28" s="10" t="s">
        <v>61</v>
      </c>
      <c r="B28" s="13" t="s">
        <v>23</v>
      </c>
      <c r="C28" s="13" t="s">
        <v>62</v>
      </c>
      <c r="D28" s="15" t="str">
        <f>HYPERLINK("https://goo.gl/t2Cr9J","My Trail Company Chrome Umbrella")</f>
        <v>My Trail Company Chrome Umbrella</v>
      </c>
      <c r="E28" s="28"/>
      <c r="F28" s="30"/>
    </row>
    <row r="29" spans="1:6" ht="33.75" customHeight="1" x14ac:dyDescent="0.2">
      <c r="A29" s="10" t="s">
        <v>63</v>
      </c>
      <c r="B29" s="13" t="s">
        <v>23</v>
      </c>
      <c r="C29" s="13" t="s">
        <v>64</v>
      </c>
      <c r="D29" s="15" t="str">
        <f>HYPERLINK("https://andrewskurka.com/2017/review-rei-quarter-zip-fleece-pullover-benchmark/","REI Quarter-zip Fleece Pullover")</f>
        <v>REI Quarter-zip Fleece Pullover</v>
      </c>
      <c r="E29" s="28"/>
      <c r="F29" s="30"/>
    </row>
    <row r="30" spans="1:6" ht="33.75" customHeight="1" x14ac:dyDescent="0.2">
      <c r="A30" s="10" t="s">
        <v>65</v>
      </c>
      <c r="B30" s="13" t="s">
        <v>23</v>
      </c>
      <c r="C30" s="13" t="s">
        <v>66</v>
      </c>
      <c r="D30" s="15" t="str">
        <f>HYPERLINK("https://goo.gl/AzgRhv","Montane Terra Pack Pants")</f>
        <v>Montane Terra Pack Pants</v>
      </c>
      <c r="E30" s="28"/>
      <c r="F30" s="30"/>
    </row>
    <row r="31" spans="1:6" ht="33.75" customHeight="1" x14ac:dyDescent="0.2">
      <c r="A31" s="22" t="s">
        <v>67</v>
      </c>
      <c r="B31" s="13" t="s">
        <v>23</v>
      </c>
      <c r="C31" s="13" t="s">
        <v>68</v>
      </c>
      <c r="D31" s="15" t="str">
        <f>HYPERLINK("http://amzn.to/2emRWcJ","DeFeet Duraglove")</f>
        <v>DeFeet Duraglove</v>
      </c>
      <c r="E31" s="28"/>
      <c r="F31" s="30"/>
    </row>
    <row r="32" spans="1:6" ht="33.75" customHeight="1" x14ac:dyDescent="0.2">
      <c r="A32" s="10" t="s">
        <v>69</v>
      </c>
      <c r="B32" s="13" t="s">
        <v>23</v>
      </c>
      <c r="C32" s="13" t="s">
        <v>70</v>
      </c>
      <c r="D32" s="15" t="str">
        <f>HYPERLINK("https://www.outsideonline.com/2270896/review-showa-281-and-282-gloves","Showa 281 or 282")</f>
        <v>Showa 281 or 282</v>
      </c>
      <c r="E32" s="20"/>
      <c r="F32" s="21"/>
    </row>
    <row r="33" spans="1:6" ht="33.75" customHeight="1" x14ac:dyDescent="0.2">
      <c r="A33" s="22" t="s">
        <v>71</v>
      </c>
      <c r="B33" s="13" t="s">
        <v>23</v>
      </c>
      <c r="C33" s="13" t="s">
        <v>72</v>
      </c>
      <c r="D33" s="15" t="str">
        <f>HYPERLINK("https://goo.gl/jyRCaK","Buff Original")</f>
        <v>Buff Original</v>
      </c>
      <c r="E33" s="28"/>
      <c r="F33" s="30"/>
    </row>
    <row r="34" spans="1:6" ht="33.75" customHeight="1" x14ac:dyDescent="0.2">
      <c r="A34" s="24"/>
      <c r="B34" s="25"/>
      <c r="C34" s="25"/>
      <c r="D34" s="25"/>
      <c r="E34" s="26"/>
      <c r="F34" s="27"/>
    </row>
    <row r="35" spans="1:6" ht="15.75" customHeight="1" x14ac:dyDescent="0.2">
      <c r="A35" s="24"/>
      <c r="B35" s="25"/>
      <c r="C35" s="25"/>
      <c r="D35" s="25"/>
      <c r="E35" s="26"/>
      <c r="F35" s="27"/>
    </row>
    <row r="36" spans="1:6" ht="26.25" customHeight="1" x14ac:dyDescent="0.2">
      <c r="A36" s="1" t="s">
        <v>73</v>
      </c>
      <c r="B36" s="2"/>
      <c r="C36" s="2"/>
      <c r="D36" s="2"/>
      <c r="E36" s="3" t="str">
        <f>A36</f>
        <v>CLOTHING: STOP &amp; SLEEP</v>
      </c>
      <c r="F36" s="4"/>
    </row>
    <row r="37" spans="1:6" ht="26.25" customHeight="1" x14ac:dyDescent="0.2">
      <c r="A37" s="6" t="s">
        <v>1</v>
      </c>
      <c r="B37" s="6" t="s">
        <v>2</v>
      </c>
      <c r="C37" s="6" t="s">
        <v>3</v>
      </c>
      <c r="D37" s="6" t="s">
        <v>4</v>
      </c>
      <c r="E37" s="7" t="s">
        <v>5</v>
      </c>
      <c r="F37" s="8" t="s">
        <v>6</v>
      </c>
    </row>
    <row r="38" spans="1:6" ht="33.75" customHeight="1" x14ac:dyDescent="0.2">
      <c r="A38" s="22" t="s">
        <v>74</v>
      </c>
      <c r="B38" s="13" t="s">
        <v>23</v>
      </c>
      <c r="C38" s="13" t="s">
        <v>75</v>
      </c>
      <c r="D38" s="15" t="str">
        <f>HYPERLINK("https://www.montbell.us/products/disp.php?cat_id=25010&amp;p_id=2301237&amp;gen_cd=1","Montbell Superior Down Parka")</f>
        <v>Montbell Superior Down Parka</v>
      </c>
      <c r="E38" s="28"/>
      <c r="F38" s="30"/>
    </row>
    <row r="39" spans="1:6" ht="33.75" customHeight="1" x14ac:dyDescent="0.2">
      <c r="A39" s="22" t="s">
        <v>76</v>
      </c>
      <c r="B39" s="13" t="s">
        <v>23</v>
      </c>
      <c r="C39" s="13" t="s">
        <v>77</v>
      </c>
      <c r="D39" s="15" t="str">
        <f>HYPERLINK("http://goo.gl/DYpoJR","WM Flash Pants")</f>
        <v>WM Flash Pants</v>
      </c>
      <c r="E39" s="28"/>
      <c r="F39" s="30"/>
    </row>
    <row r="40" spans="1:6" ht="33.75" customHeight="1" x14ac:dyDescent="0.2">
      <c r="A40" s="10" t="s">
        <v>79</v>
      </c>
      <c r="B40" s="13" t="s">
        <v>23</v>
      </c>
      <c r="C40" s="13" t="s">
        <v>80</v>
      </c>
      <c r="D40" s="15" t="str">
        <f>HYPERLINK("https://goo.gl/dsKxms","Patagonia Women's Active Briefs")</f>
        <v>Patagonia Women's Active Briefs</v>
      </c>
      <c r="E40" s="28"/>
      <c r="F40" s="30"/>
    </row>
    <row r="41" spans="1:6" ht="33.75" customHeight="1" x14ac:dyDescent="0.2">
      <c r="A41" s="10" t="s">
        <v>81</v>
      </c>
      <c r="B41" s="13" t="s">
        <v>23</v>
      </c>
      <c r="C41" s="13" t="s">
        <v>82</v>
      </c>
      <c r="D41" s="15" t="str">
        <f>HYPERLINK("https://goo.gl/7BbY46","Brooks Fiona Sports Bra")</f>
        <v>Brooks Fiona Sports Bra</v>
      </c>
      <c r="E41" s="28"/>
      <c r="F41" s="30"/>
    </row>
    <row r="42" spans="1:6" ht="33.75" customHeight="1" x14ac:dyDescent="0.2">
      <c r="A42" s="22" t="s">
        <v>83</v>
      </c>
      <c r="B42" s="13" t="s">
        <v>23</v>
      </c>
      <c r="C42" s="13" t="s">
        <v>84</v>
      </c>
      <c r="D42" s="15" t="str">
        <f>HYPERLINK("https://goo.gl/XfJoR3","REI Co-op Sahara L/S Shirt")</f>
        <v>REI Co-op Sahara L/S Shirt</v>
      </c>
      <c r="E42" s="28"/>
      <c r="F42" s="30"/>
    </row>
    <row r="43" spans="1:6" ht="33.75" customHeight="1" x14ac:dyDescent="0.2">
      <c r="A43" s="22" t="s">
        <v>85</v>
      </c>
      <c r="B43" s="13" t="s">
        <v>23</v>
      </c>
      <c r="C43" s="13" t="s">
        <v>55</v>
      </c>
      <c r="D43" s="15" t="str">
        <f>HYPERLINK("http://amzn.to/2ndHyb5","Champion Powerflex Tight")</f>
        <v>Champion Powerflex Tight</v>
      </c>
      <c r="E43" s="28"/>
      <c r="F43" s="30"/>
    </row>
    <row r="44" spans="1:6" ht="33.75" customHeight="1" x14ac:dyDescent="0.2">
      <c r="A44" s="37"/>
      <c r="B44" s="37"/>
      <c r="C44" s="37"/>
      <c r="D44" s="37"/>
      <c r="E44" s="38"/>
      <c r="F44" s="37"/>
    </row>
    <row r="45" spans="1:6" ht="15.75" customHeight="1" x14ac:dyDescent="0.2">
      <c r="A45" s="24"/>
      <c r="B45" s="25"/>
      <c r="C45" s="25"/>
      <c r="D45" s="25"/>
      <c r="E45" s="26"/>
      <c r="F45" s="27"/>
    </row>
    <row r="46" spans="1:6" ht="26.25" customHeight="1" x14ac:dyDescent="0.2">
      <c r="A46" s="1" t="s">
        <v>86</v>
      </c>
      <c r="B46" s="2"/>
      <c r="C46" s="2"/>
      <c r="D46" s="2"/>
      <c r="E46" s="3" t="str">
        <f>A46</f>
        <v>PACKING</v>
      </c>
      <c r="F46" s="4"/>
    </row>
    <row r="47" spans="1:6" ht="26.25" customHeight="1" x14ac:dyDescent="0.2">
      <c r="A47" s="6" t="s">
        <v>1</v>
      </c>
      <c r="B47" s="6" t="s">
        <v>2</v>
      </c>
      <c r="C47" s="6" t="s">
        <v>3</v>
      </c>
      <c r="D47" s="6" t="s">
        <v>4</v>
      </c>
      <c r="E47" s="7" t="s">
        <v>5</v>
      </c>
      <c r="F47" s="8" t="s">
        <v>6</v>
      </c>
    </row>
    <row r="48" spans="1:6" ht="33.75" customHeight="1" x14ac:dyDescent="0.2">
      <c r="A48" s="22" t="s">
        <v>87</v>
      </c>
      <c r="B48" s="13" t="s">
        <v>8</v>
      </c>
      <c r="C48" s="13" t="s">
        <v>88</v>
      </c>
      <c r="D48" s="15" t="str">
        <f>HYPERLINK("http://andrewskurka.com/tag/flex-capacitor-pack/","Sierra Designs Flex Capacitor 40-60 Pack")</f>
        <v>Sierra Designs Flex Capacitor 40-60 Pack</v>
      </c>
      <c r="E48" s="28"/>
      <c r="F48" s="30"/>
    </row>
    <row r="49" spans="1:6" ht="33.75" customHeight="1" x14ac:dyDescent="0.2">
      <c r="A49" s="10" t="s">
        <v>89</v>
      </c>
      <c r="B49" s="13" t="s">
        <v>23</v>
      </c>
      <c r="C49" s="13" t="s">
        <v>90</v>
      </c>
      <c r="D49" s="15" t="str">
        <f>HYPERLINK("http://amzn.to/1qH6A04","Brute Super Tuff Bags 20-gallon")</f>
        <v>Brute Super Tuff Bags 20-gallon</v>
      </c>
      <c r="E49" s="28"/>
      <c r="F49" s="30"/>
    </row>
    <row r="50" spans="1:6" ht="33.75" customHeight="1" x14ac:dyDescent="0.2">
      <c r="A50" s="10" t="s">
        <v>91</v>
      </c>
      <c r="B50" s="13" t="s">
        <v>29</v>
      </c>
      <c r="C50" s="13" t="s">
        <v>92</v>
      </c>
      <c r="D50" s="15" t="str">
        <f>HYPERLINK("https://amzn.to/2O2tKLb","Ziploc Slider Bag - Freezer Quart-sized")</f>
        <v>Ziploc Slider Bag - Freezer Quart-sized</v>
      </c>
      <c r="E50" s="28"/>
      <c r="F50" s="30"/>
    </row>
    <row r="51" spans="1:6" ht="33.75" customHeight="1" x14ac:dyDescent="0.2">
      <c r="A51" s="10" t="s">
        <v>93</v>
      </c>
      <c r="B51" s="13" t="s">
        <v>8</v>
      </c>
      <c r="C51" s="13" t="s">
        <v>94</v>
      </c>
      <c r="D51" s="15" t="str">
        <f>HYPERLINK("https://andrewskurka.com/2019/long-term-review-loksak-opsak-food-bag/","LOKSAK OPSAK - 21x12")</f>
        <v>LOKSAK OPSAK - 21x12</v>
      </c>
      <c r="E51" s="28"/>
      <c r="F51" s="30"/>
    </row>
    <row r="52" spans="1:6" ht="33.75" customHeight="1" x14ac:dyDescent="0.2">
      <c r="A52" s="10" t="s">
        <v>95</v>
      </c>
      <c r="B52" s="13" t="s">
        <v>23</v>
      </c>
      <c r="C52" s="13" t="s">
        <v>96</v>
      </c>
      <c r="D52" s="15" t="str">
        <f>HYPERLINK("http://amzn.to/2foDxcI","Bear Vault BV500")</f>
        <v>Bear Vault BV500</v>
      </c>
      <c r="E52" s="28"/>
      <c r="F52" s="30"/>
    </row>
    <row r="53" spans="1:6" ht="33.75" customHeight="1" x14ac:dyDescent="0.2">
      <c r="A53" s="22" t="s">
        <v>97</v>
      </c>
      <c r="B53" s="13" t="s">
        <v>29</v>
      </c>
      <c r="C53" s="13" t="s">
        <v>98</v>
      </c>
      <c r="D53" s="15" t="str">
        <f>HYPERLINK("http://goo.gl/YwO2IN","Granite Gear Toughsacks")</f>
        <v>Granite Gear Toughsacks</v>
      </c>
      <c r="E53" s="28"/>
      <c r="F53" s="30"/>
    </row>
    <row r="54" spans="1:6" ht="33.75" customHeight="1" x14ac:dyDescent="0.2">
      <c r="A54" s="22" t="s">
        <v>99</v>
      </c>
      <c r="B54" s="13" t="s">
        <v>29</v>
      </c>
      <c r="C54" s="13" t="s">
        <v>100</v>
      </c>
      <c r="D54" s="18" t="s">
        <v>101</v>
      </c>
      <c r="E54" s="28"/>
      <c r="F54" s="30"/>
    </row>
    <row r="55" spans="1:6" ht="33.75" customHeight="1" x14ac:dyDescent="0.2">
      <c r="A55" s="37"/>
      <c r="B55" s="37"/>
      <c r="C55" s="37"/>
      <c r="D55" s="37"/>
      <c r="E55" s="38"/>
      <c r="F55" s="37"/>
    </row>
    <row r="56" spans="1:6" ht="15.75" customHeight="1" x14ac:dyDescent="0.2">
      <c r="A56" s="24"/>
      <c r="B56" s="25"/>
      <c r="C56" s="25"/>
      <c r="D56" s="25"/>
      <c r="E56" s="26"/>
      <c r="F56" s="27"/>
    </row>
    <row r="57" spans="1:6" ht="26.25" customHeight="1" x14ac:dyDescent="0.2">
      <c r="A57" s="1" t="s">
        <v>102</v>
      </c>
      <c r="B57" s="2"/>
      <c r="C57" s="2"/>
      <c r="D57" s="2"/>
      <c r="E57" s="3" t="str">
        <f>A57</f>
        <v>SHELTER</v>
      </c>
      <c r="F57" s="4"/>
    </row>
    <row r="58" spans="1:6" ht="26.25" customHeight="1" x14ac:dyDescent="0.2">
      <c r="A58" s="6" t="s">
        <v>1</v>
      </c>
      <c r="B58" s="6" t="s">
        <v>2</v>
      </c>
      <c r="C58" s="6" t="s">
        <v>3</v>
      </c>
      <c r="D58" s="6" t="s">
        <v>4</v>
      </c>
      <c r="E58" s="7" t="s">
        <v>5</v>
      </c>
      <c r="F58" s="8" t="s">
        <v>6</v>
      </c>
    </row>
    <row r="59" spans="1:6" ht="33.75" customHeight="1" x14ac:dyDescent="0.2">
      <c r="A59" s="22" t="s">
        <v>103</v>
      </c>
      <c r="B59" s="13" t="s">
        <v>29</v>
      </c>
      <c r="C59" s="13" t="s">
        <v>104</v>
      </c>
      <c r="D59" s="15" t="str">
        <f>HYPERLINK("http://andrewskurka.com/tag/high-route-tent/","Sierra Designs High Route 1FL Tent (fly)")</f>
        <v>Sierra Designs High Route 1FL Tent (fly)</v>
      </c>
      <c r="E59" s="28"/>
      <c r="F59" s="30"/>
    </row>
    <row r="60" spans="1:6" ht="33.75" customHeight="1" x14ac:dyDescent="0.2">
      <c r="A60" s="10" t="s">
        <v>105</v>
      </c>
      <c r="B60" s="13" t="s">
        <v>23</v>
      </c>
      <c r="C60" s="13" t="s">
        <v>106</v>
      </c>
      <c r="D60" s="18" t="s">
        <v>107</v>
      </c>
      <c r="E60" s="28"/>
      <c r="F60" s="30"/>
    </row>
    <row r="61" spans="1:6" ht="33.75" customHeight="1" x14ac:dyDescent="0.2">
      <c r="A61" s="10" t="s">
        <v>108</v>
      </c>
      <c r="B61" s="13" t="s">
        <v>23</v>
      </c>
      <c r="C61" s="13" t="s">
        <v>109</v>
      </c>
      <c r="D61" s="15" t="str">
        <f>HYPERLINK("https://goo.gl/4ths5R","SOL Emergency Blanket")</f>
        <v>SOL Emergency Blanket</v>
      </c>
      <c r="E61" s="28"/>
      <c r="F61" s="30"/>
    </row>
    <row r="62" spans="1:6" ht="33.75" customHeight="1" x14ac:dyDescent="0.2">
      <c r="A62" s="10" t="s">
        <v>110</v>
      </c>
      <c r="B62" s="13" t="s">
        <v>23</v>
      </c>
      <c r="C62" s="13" t="s">
        <v>111</v>
      </c>
      <c r="D62" s="13" t="s">
        <v>112</v>
      </c>
      <c r="E62" s="28"/>
      <c r="F62" s="30"/>
    </row>
    <row r="63" spans="1:6" ht="33.75" customHeight="1" x14ac:dyDescent="0.2">
      <c r="A63" s="10" t="s">
        <v>113</v>
      </c>
      <c r="B63" s="13" t="s">
        <v>8</v>
      </c>
      <c r="C63" s="13" t="s">
        <v>114</v>
      </c>
      <c r="D63" s="15" t="str">
        <f>HYPERLINK("http://goo.gl/PxRV0P","PMI 2mm Utility Cord")</f>
        <v>PMI 2mm Utility Cord</v>
      </c>
      <c r="E63" s="28"/>
      <c r="F63" s="30"/>
    </row>
    <row r="64" spans="1:6" ht="33.75" customHeight="1" x14ac:dyDescent="0.2">
      <c r="A64" s="22" t="s">
        <v>115</v>
      </c>
      <c r="B64" s="13" t="s">
        <v>8</v>
      </c>
      <c r="C64" s="13" t="s">
        <v>116</v>
      </c>
      <c r="D64" s="15" t="str">
        <f>HYPERLINK("http://amzn.to/2bBR3b0","Kungix Y-stakes, 7-in")</f>
        <v>Kungix Y-stakes, 7-in</v>
      </c>
      <c r="E64" s="28"/>
      <c r="F64" s="30"/>
    </row>
    <row r="65" spans="1:6" ht="33.75" customHeight="1" x14ac:dyDescent="0.2">
      <c r="A65" s="37"/>
      <c r="B65" s="37"/>
      <c r="C65" s="37"/>
      <c r="D65" s="37"/>
      <c r="E65" s="38"/>
      <c r="F65" s="37"/>
    </row>
    <row r="66" spans="1:6" ht="15.75" customHeight="1" x14ac:dyDescent="0.2">
      <c r="A66" s="24"/>
      <c r="B66" s="25"/>
      <c r="C66" s="25"/>
      <c r="D66" s="25"/>
      <c r="E66" s="26"/>
      <c r="F66" s="27"/>
    </row>
    <row r="67" spans="1:6" ht="26.25" customHeight="1" x14ac:dyDescent="0.2">
      <c r="A67" s="1" t="s">
        <v>117</v>
      </c>
      <c r="B67" s="2"/>
      <c r="C67" s="2"/>
      <c r="D67" s="2"/>
      <c r="E67" s="3" t="str">
        <f>A67</f>
        <v>SLEEP</v>
      </c>
      <c r="F67" s="4"/>
    </row>
    <row r="68" spans="1:6" ht="26.25" customHeight="1" x14ac:dyDescent="0.2">
      <c r="A68" s="6" t="s">
        <v>1</v>
      </c>
      <c r="B68" s="6" t="s">
        <v>2</v>
      </c>
      <c r="C68" s="6" t="s">
        <v>3</v>
      </c>
      <c r="D68" s="6" t="s">
        <v>4</v>
      </c>
      <c r="E68" s="7" t="s">
        <v>5</v>
      </c>
      <c r="F68" s="8" t="s">
        <v>6</v>
      </c>
    </row>
    <row r="69" spans="1:6" ht="33.75" customHeight="1" x14ac:dyDescent="0.2">
      <c r="A69" s="22" t="s">
        <v>118</v>
      </c>
      <c r="B69" s="13" t="s">
        <v>8</v>
      </c>
      <c r="C69" s="13" t="s">
        <v>119</v>
      </c>
      <c r="D69" s="15" t="str">
        <f>HYPERLINK("https://andrewskurka.com/2017/review-sierra-designs-cloud-35-20-zipperless-mummy/","Sierra Designs Cloud 35")</f>
        <v>Sierra Designs Cloud 35</v>
      </c>
      <c r="E69" s="28"/>
      <c r="F69" s="30"/>
    </row>
    <row r="70" spans="1:6" ht="33.75" customHeight="1" x14ac:dyDescent="0.2">
      <c r="A70" s="10" t="s">
        <v>120</v>
      </c>
      <c r="B70" s="13" t="s">
        <v>8</v>
      </c>
      <c r="C70" s="13" t="s">
        <v>121</v>
      </c>
      <c r="D70" s="15" t="str">
        <f>HYPERLINK("https://andrewskurka.com/2018/preview-big-agnes-insulated-axl-air-pads-neoair/","Big Agnes Insulated AXL Pad")</f>
        <v>Big Agnes Insulated AXL Pad</v>
      </c>
      <c r="E70" s="28"/>
      <c r="F70" s="30"/>
    </row>
    <row r="71" spans="1:6" ht="33.75" customHeight="1" x14ac:dyDescent="0.2">
      <c r="A71" s="10" t="s">
        <v>122</v>
      </c>
      <c r="B71" s="13" t="s">
        <v>32</v>
      </c>
      <c r="C71" s="13" t="s">
        <v>123</v>
      </c>
      <c r="D71" s="15" t="str">
        <f>HYPERLINK("https://andrewskurka.com/2018/review-sierra-designs-animas-pillow-inflatable/","Sierra Designs Animas Pillow")</f>
        <v>Sierra Designs Animas Pillow</v>
      </c>
      <c r="E71" s="28"/>
      <c r="F71" s="30"/>
    </row>
    <row r="72" spans="1:6" ht="33.75" customHeight="1" x14ac:dyDescent="0.2">
      <c r="A72" s="37"/>
      <c r="B72" s="37"/>
      <c r="C72" s="37"/>
      <c r="D72" s="37"/>
      <c r="E72" s="38"/>
      <c r="F72" s="37"/>
    </row>
    <row r="73" spans="1:6" ht="15.75" customHeight="1" x14ac:dyDescent="0.2">
      <c r="A73" s="24"/>
      <c r="B73" s="25"/>
      <c r="C73" s="25"/>
      <c r="D73" s="25"/>
      <c r="E73" s="26"/>
      <c r="F73" s="27"/>
    </row>
    <row r="74" spans="1:6" ht="26.25" customHeight="1" x14ac:dyDescent="0.2">
      <c r="A74" s="1" t="s">
        <v>124</v>
      </c>
      <c r="B74" s="2"/>
      <c r="C74" s="2"/>
      <c r="D74" s="2"/>
      <c r="E74" s="3" t="str">
        <f>A74</f>
        <v>KITCHEN</v>
      </c>
      <c r="F74" s="4"/>
    </row>
    <row r="75" spans="1:6" ht="26.25" customHeight="1" x14ac:dyDescent="0.2">
      <c r="A75" s="6" t="s">
        <v>1</v>
      </c>
      <c r="B75" s="6" t="s">
        <v>2</v>
      </c>
      <c r="C75" s="6" t="s">
        <v>3</v>
      </c>
      <c r="D75" s="6" t="s">
        <v>4</v>
      </c>
      <c r="E75" s="7" t="s">
        <v>5</v>
      </c>
      <c r="F75" s="8" t="s">
        <v>6</v>
      </c>
    </row>
    <row r="76" spans="1:6" ht="33.75" customHeight="1" x14ac:dyDescent="0.2">
      <c r="A76" s="22" t="s">
        <v>125</v>
      </c>
      <c r="B76" s="13" t="s">
        <v>29</v>
      </c>
      <c r="C76" s="13" t="s">
        <v>126</v>
      </c>
      <c r="D76" s="15" t="str">
        <f>HYPERLINK("https://andrewskurka.com/2018/preview-trail-designs-kojin-stove-russ-zandbergen/","Trail Designs Kojin")</f>
        <v>Trail Designs Kojin</v>
      </c>
      <c r="E76" s="28"/>
      <c r="F76" s="30"/>
    </row>
    <row r="77" spans="1:6" ht="33.75" customHeight="1" x14ac:dyDescent="0.2">
      <c r="A77" s="22" t="s">
        <v>127</v>
      </c>
      <c r="B77" s="13" t="s">
        <v>23</v>
      </c>
      <c r="C77" s="13" t="s">
        <v>128</v>
      </c>
      <c r="D77" s="15" t="str">
        <f>HYPERLINK("https://www.traildesigns.com/stoves/caldera-sidewinder","Sidewinder Ti-Tri")</f>
        <v>Sidewinder Ti-Tri</v>
      </c>
      <c r="E77" s="28"/>
      <c r="F77" s="30"/>
    </row>
    <row r="78" spans="1:6" ht="33.75" customHeight="1" x14ac:dyDescent="0.2">
      <c r="A78" s="22" t="s">
        <v>129</v>
      </c>
      <c r="B78" s="13" t="s">
        <v>23</v>
      </c>
      <c r="C78" s="13" t="s">
        <v>130</v>
      </c>
      <c r="D78" s="15" t="str">
        <f>HYPERLINK("http://zenstoves.net/PotStands.htm","Zen Stove: DIY pot stands")</f>
        <v>Zen Stove: DIY pot stands</v>
      </c>
      <c r="E78" s="28"/>
      <c r="F78" s="30"/>
    </row>
    <row r="79" spans="1:6" ht="33.75" customHeight="1" x14ac:dyDescent="0.2">
      <c r="A79" s="22" t="s">
        <v>131</v>
      </c>
      <c r="B79" s="13" t="s">
        <v>29</v>
      </c>
      <c r="C79" s="13" t="s">
        <v>132</v>
      </c>
      <c r="D79" s="15" t="str">
        <f>HYPERLINK("http://amzn.to/2dVvgLn","Evernew Titanium Ultraight 900ml")</f>
        <v>Evernew Titanium Ultraight 900ml</v>
      </c>
      <c r="E79" s="28"/>
      <c r="F79" s="30"/>
    </row>
    <row r="80" spans="1:6" ht="33.75" customHeight="1" x14ac:dyDescent="0.2">
      <c r="A80" s="22" t="s">
        <v>133</v>
      </c>
      <c r="B80" s="13" t="s">
        <v>23</v>
      </c>
      <c r="C80" s="13" t="s">
        <v>134</v>
      </c>
      <c r="D80" s="15" t="str">
        <f>HYPERLINK("http://goo.gl/y9XMka","GSI Outdoors Baked Enamelware Bowl")</f>
        <v>GSI Outdoors Baked Enamelware Bowl</v>
      </c>
      <c r="E80" s="28"/>
      <c r="F80" s="30"/>
    </row>
    <row r="81" spans="1:6" ht="33.75" customHeight="1" x14ac:dyDescent="0.2">
      <c r="A81" s="22" t="s">
        <v>135</v>
      </c>
      <c r="B81" s="13" t="s">
        <v>32</v>
      </c>
      <c r="C81" s="13" t="s">
        <v>136</v>
      </c>
      <c r="D81" s="15" t="str">
        <f>HYPERLINK("http://amzn.to/1RYjT59","Starbucks Reusable Mug ($2 at stores)")</f>
        <v>Starbucks Reusable Mug ($2 at stores)</v>
      </c>
      <c r="E81" s="28"/>
      <c r="F81" s="30"/>
    </row>
    <row r="82" spans="1:6" ht="33.75" customHeight="1" x14ac:dyDescent="0.2">
      <c r="A82" s="10" t="s">
        <v>137</v>
      </c>
      <c r="B82" s="13" t="s">
        <v>32</v>
      </c>
      <c r="C82" s="13" t="s">
        <v>138</v>
      </c>
      <c r="D82" s="15" t="str">
        <f>HYPERLINK("https://goo.gl/RxP9LG","MSR PanHandler Potlifter")</f>
        <v>MSR PanHandler Potlifter</v>
      </c>
      <c r="E82" s="28"/>
      <c r="F82" s="30"/>
    </row>
    <row r="83" spans="1:6" ht="33.75" customHeight="1" x14ac:dyDescent="0.2">
      <c r="A83" s="22" t="s">
        <v>139</v>
      </c>
      <c r="B83" s="13" t="s">
        <v>29</v>
      </c>
      <c r="C83" s="13" t="s">
        <v>140</v>
      </c>
      <c r="D83" s="13" t="s">
        <v>141</v>
      </c>
      <c r="E83" s="28"/>
      <c r="F83" s="30"/>
    </row>
    <row r="84" spans="1:6" ht="33.75" customHeight="1" x14ac:dyDescent="0.2">
      <c r="A84" s="10" t="s">
        <v>142</v>
      </c>
      <c r="B84" s="13" t="s">
        <v>29</v>
      </c>
      <c r="C84" s="13" t="s">
        <v>143</v>
      </c>
      <c r="D84" s="15" t="str">
        <f>HYPERLINK("http://amzn.to/1qH6qpz","Plastic measurement cups - 1 oz")</f>
        <v>Plastic measurement cups - 1 oz</v>
      </c>
      <c r="E84" s="28"/>
      <c r="F84" s="30"/>
    </row>
    <row r="85" spans="1:6" ht="33.75" customHeight="1" x14ac:dyDescent="0.2">
      <c r="A85" s="22" t="s">
        <v>144</v>
      </c>
      <c r="B85" s="13" t="s">
        <v>8</v>
      </c>
      <c r="C85" s="13" t="s">
        <v>145</v>
      </c>
      <c r="D85" s="15" t="str">
        <f>HYPERLINK("https://goo.gl/uWb5z8","GSI Outdoors Table Spoon")</f>
        <v>GSI Outdoors Table Spoon</v>
      </c>
      <c r="E85" s="28"/>
      <c r="F85" s="30"/>
    </row>
    <row r="86" spans="1:6" ht="33.75" customHeight="1" x14ac:dyDescent="0.2">
      <c r="A86" s="22" t="s">
        <v>146</v>
      </c>
      <c r="B86" s="13" t="s">
        <v>29</v>
      </c>
      <c r="C86" s="13" t="s">
        <v>147</v>
      </c>
      <c r="D86" s="15" t="str">
        <f>HYPERLINK("http://amzn.to/1UZdLgY","Bic Lighter")</f>
        <v>Bic Lighter</v>
      </c>
      <c r="E86" s="28"/>
      <c r="F86" s="30"/>
    </row>
    <row r="87" spans="1:6" ht="33.75" customHeight="1" x14ac:dyDescent="0.2">
      <c r="A87" s="37"/>
      <c r="B87" s="37"/>
      <c r="C87" s="37"/>
      <c r="D87" s="37"/>
      <c r="E87" s="38"/>
      <c r="F87" s="37"/>
    </row>
    <row r="88" spans="1:6" ht="15.75" customHeight="1" x14ac:dyDescent="0.2">
      <c r="A88" s="24"/>
      <c r="B88" s="25"/>
      <c r="C88" s="25"/>
      <c r="D88" s="25"/>
      <c r="E88" s="26"/>
      <c r="F88" s="27"/>
    </row>
    <row r="89" spans="1:6" ht="26.25" customHeight="1" x14ac:dyDescent="0.2">
      <c r="A89" s="1" t="s">
        <v>148</v>
      </c>
      <c r="B89" s="2"/>
      <c r="C89" s="2"/>
      <c r="D89" s="2"/>
      <c r="E89" s="3" t="str">
        <f>A89</f>
        <v>HYDRATION</v>
      </c>
      <c r="F89" s="4"/>
    </row>
    <row r="90" spans="1:6" ht="26.25" customHeight="1" x14ac:dyDescent="0.2">
      <c r="A90" s="6" t="s">
        <v>1</v>
      </c>
      <c r="B90" s="6" t="s">
        <v>2</v>
      </c>
      <c r="C90" s="6" t="s">
        <v>3</v>
      </c>
      <c r="D90" s="6" t="s">
        <v>4</v>
      </c>
      <c r="E90" s="7" t="s">
        <v>5</v>
      </c>
      <c r="F90" s="8" t="s">
        <v>6</v>
      </c>
    </row>
    <row r="91" spans="1:6" ht="33.75" customHeight="1" x14ac:dyDescent="0.2">
      <c r="A91" s="10" t="s">
        <v>149</v>
      </c>
      <c r="B91" s="13" t="s">
        <v>8</v>
      </c>
      <c r="C91" s="13" t="s">
        <v>150</v>
      </c>
      <c r="D91" s="18" t="s">
        <v>151</v>
      </c>
      <c r="E91" s="28"/>
      <c r="F91" s="30"/>
    </row>
    <row r="92" spans="1:6" ht="33.75" customHeight="1" x14ac:dyDescent="0.2">
      <c r="A92" s="10" t="s">
        <v>152</v>
      </c>
      <c r="B92" s="13" t="s">
        <v>29</v>
      </c>
      <c r="C92" s="13" t="s">
        <v>153</v>
      </c>
      <c r="D92" s="15" t="str">
        <f>HYPERLINK("http://amzn.to/2eOaWzD","Platypus Platy Bottle 2L")</f>
        <v>Platypus Platy Bottle 2L</v>
      </c>
      <c r="E92" s="28"/>
      <c r="F92" s="30"/>
    </row>
    <row r="93" spans="1:6" ht="33.75" customHeight="1" x14ac:dyDescent="0.2">
      <c r="A93" s="10" t="s">
        <v>154</v>
      </c>
      <c r="B93" s="13" t="s">
        <v>8</v>
      </c>
      <c r="C93" s="13" t="s">
        <v>155</v>
      </c>
      <c r="D93" s="15" t="str">
        <f>HYPERLINK("http://goo.gl/Kw1qNa","Aquamira Drops with pre-mix bottle")</f>
        <v>Aquamira Drops with pre-mix bottle</v>
      </c>
      <c r="E93" s="28"/>
      <c r="F93" s="30"/>
    </row>
    <row r="94" spans="1:6" ht="33.75" customHeight="1" x14ac:dyDescent="0.2">
      <c r="A94" s="10" t="s">
        <v>156</v>
      </c>
      <c r="B94" s="13" t="s">
        <v>32</v>
      </c>
      <c r="C94" s="13" t="s">
        <v>157</v>
      </c>
      <c r="D94" s="15" t="str">
        <f>HYPERLINK("https://goo.gl/ipEQPW","Platypus GravityWorks 4.0L")</f>
        <v>Platypus GravityWorks 4.0L</v>
      </c>
      <c r="E94" s="28"/>
      <c r="F94" s="30"/>
    </row>
    <row r="95" spans="1:6" ht="33.75" customHeight="1" x14ac:dyDescent="0.2">
      <c r="A95" s="37"/>
      <c r="B95" s="37"/>
      <c r="C95" s="37"/>
      <c r="D95" s="37"/>
      <c r="E95" s="38"/>
      <c r="F95" s="37"/>
    </row>
    <row r="96" spans="1:6" ht="15.75" customHeight="1" x14ac:dyDescent="0.2">
      <c r="A96" s="24"/>
      <c r="B96" s="25"/>
      <c r="C96" s="25"/>
      <c r="D96" s="25"/>
      <c r="E96" s="26"/>
      <c r="F96" s="27"/>
    </row>
    <row r="97" spans="1:6" ht="26.25" customHeight="1" x14ac:dyDescent="0.2">
      <c r="A97" s="1" t="s">
        <v>158</v>
      </c>
      <c r="B97" s="2"/>
      <c r="C97" s="2"/>
      <c r="D97" s="2"/>
      <c r="E97" s="3" t="str">
        <f>A97</f>
        <v>NAVIGATION</v>
      </c>
      <c r="F97" s="4"/>
    </row>
    <row r="98" spans="1:6" ht="26.25" customHeight="1" x14ac:dyDescent="0.2">
      <c r="A98" s="6" t="s">
        <v>1</v>
      </c>
      <c r="B98" s="6" t="s">
        <v>2</v>
      </c>
      <c r="C98" s="6" t="s">
        <v>3</v>
      </c>
      <c r="D98" s="6" t="s">
        <v>4</v>
      </c>
      <c r="E98" s="7" t="s">
        <v>5</v>
      </c>
      <c r="F98" s="8" t="s">
        <v>6</v>
      </c>
    </row>
    <row r="99" spans="1:6" ht="33.75" customHeight="1" x14ac:dyDescent="0.2">
      <c r="A99" s="10" t="s">
        <v>159</v>
      </c>
      <c r="B99" s="13" t="s">
        <v>23</v>
      </c>
      <c r="C99" s="13" t="s">
        <v>160</v>
      </c>
      <c r="D99" s="15" t="str">
        <f>HYPERLINK("https://andrewskurka.com/product/yosemite-high-route-guide/","Yosemite High Route Guide")</f>
        <v>Yosemite High Route Guide</v>
      </c>
      <c r="E99" s="20"/>
      <c r="F99" s="30"/>
    </row>
    <row r="100" spans="1:6" ht="33.75" customHeight="1" x14ac:dyDescent="0.2">
      <c r="A100" s="10" t="s">
        <v>161</v>
      </c>
      <c r="B100" s="13" t="s">
        <v>23</v>
      </c>
      <c r="C100" s="13" t="s">
        <v>162</v>
      </c>
      <c r="D100" s="15" t="str">
        <f>HYPERLINK("http://caltopo.com/map.html","USGS 7.5-min maps, made in CalTopo")</f>
        <v>USGS 7.5-min maps, made in CalTopo</v>
      </c>
      <c r="E100" s="20"/>
      <c r="F100" s="30"/>
    </row>
    <row r="101" spans="1:6" ht="33.75" customHeight="1" x14ac:dyDescent="0.2">
      <c r="A101" s="10" t="s">
        <v>163</v>
      </c>
      <c r="B101" s="10" t="s">
        <v>23</v>
      </c>
      <c r="C101" s="13" t="s">
        <v>164</v>
      </c>
      <c r="D101" s="15" t="str">
        <f>HYPERLINK("https://andrewskurka.com/product/pfiffner-traverse-guide-maps/","Pfiffner Traverse Guide")</f>
        <v>Pfiffner Traverse Guide</v>
      </c>
      <c r="E101" s="20"/>
      <c r="F101" s="30"/>
    </row>
    <row r="102" spans="1:6" ht="33.75" customHeight="1" x14ac:dyDescent="0.2">
      <c r="A102" s="22" t="s">
        <v>165</v>
      </c>
      <c r="B102" s="10" t="s">
        <v>29</v>
      </c>
      <c r="C102" s="13" t="s">
        <v>166</v>
      </c>
      <c r="D102" s="15" t="str">
        <f>HYPERLINK("https://andrewskurka.com/2018/long-term-review-suunto-ambit3-peak-gps-sport-watch/","Suunto Ambit3 Peak GPS Watch")</f>
        <v>Suunto Ambit3 Peak GPS Watch</v>
      </c>
      <c r="E102" s="20"/>
      <c r="F102" s="30"/>
    </row>
    <row r="103" spans="1:6" ht="33.75" customHeight="1" x14ac:dyDescent="0.2">
      <c r="A103" s="22" t="s">
        <v>167</v>
      </c>
      <c r="B103" s="13" t="s">
        <v>23</v>
      </c>
      <c r="C103" s="13" t="s">
        <v>168</v>
      </c>
      <c r="D103" s="15" t="str">
        <f>HYPERLINK("https://andrewskurka.com/2016/long-term-review-suunto-m-3g-global-compass-adjustable-ultralight/","Suunto M-3G Global Pro Compass")</f>
        <v>Suunto M-3G Global Pro Compass</v>
      </c>
      <c r="E103" s="20"/>
      <c r="F103" s="30"/>
    </row>
    <row r="104" spans="1:6" ht="33.75" customHeight="1" x14ac:dyDescent="0.2">
      <c r="A104" s="10" t="s">
        <v>169</v>
      </c>
      <c r="B104" s="13" t="s">
        <v>29</v>
      </c>
      <c r="C104" s="13" t="s">
        <v>170</v>
      </c>
      <c r="D104" s="15" t="str">
        <f>HYPERLINK("https://www.gaiagps.com","Pixel w/Gaia GPS")</f>
        <v>Pixel w/Gaia GPS</v>
      </c>
      <c r="E104" s="20"/>
      <c r="F104" s="30"/>
    </row>
    <row r="105" spans="1:6" ht="33.75" customHeight="1" x14ac:dyDescent="0.2">
      <c r="A105" s="10" t="s">
        <v>171</v>
      </c>
      <c r="B105" s="13" t="s">
        <v>29</v>
      </c>
      <c r="C105" s="13" t="s">
        <v>172</v>
      </c>
      <c r="D105" s="15" t="str">
        <f>HYPERLINK("https://amzn.to/2u2im92","Ziploc 1-gallon Freezer Bag")</f>
        <v>Ziploc 1-gallon Freezer Bag</v>
      </c>
      <c r="E105" s="20"/>
      <c r="F105" s="30"/>
    </row>
    <row r="106" spans="1:6" ht="33.75" customHeight="1" x14ac:dyDescent="0.2">
      <c r="A106" s="22" t="s">
        <v>173</v>
      </c>
      <c r="B106" s="13" t="s">
        <v>29</v>
      </c>
      <c r="C106" s="13" t="s">
        <v>174</v>
      </c>
      <c r="D106" s="13" t="s">
        <v>175</v>
      </c>
      <c r="E106" s="20"/>
      <c r="F106" s="30"/>
    </row>
    <row r="107" spans="1:6" ht="33.75" customHeight="1" x14ac:dyDescent="0.2">
      <c r="A107" s="37"/>
      <c r="B107" s="37"/>
      <c r="C107" s="37"/>
      <c r="D107" s="37"/>
      <c r="E107" s="38"/>
      <c r="F107" s="37"/>
    </row>
    <row r="108" spans="1:6" ht="15.75" customHeight="1" x14ac:dyDescent="0.2">
      <c r="A108" s="24"/>
      <c r="B108" s="25"/>
      <c r="C108" s="25"/>
      <c r="D108" s="25"/>
      <c r="E108" s="26"/>
      <c r="F108" s="27"/>
    </row>
    <row r="109" spans="1:6" ht="26.25" customHeight="1" x14ac:dyDescent="0.2">
      <c r="A109" s="1" t="s">
        <v>176</v>
      </c>
      <c r="B109" s="2"/>
      <c r="C109" s="2"/>
      <c r="D109" s="2"/>
      <c r="E109" s="3" t="str">
        <f>A109</f>
        <v>TOOLS, FIRST AID, EMERGENCY, &amp; UTILITY</v>
      </c>
      <c r="F109" s="4"/>
    </row>
    <row r="110" spans="1:6" ht="26.25" customHeight="1" x14ac:dyDescent="0.2">
      <c r="A110" s="6" t="s">
        <v>1</v>
      </c>
      <c r="B110" s="6" t="s">
        <v>2</v>
      </c>
      <c r="C110" s="6" t="s">
        <v>3</v>
      </c>
      <c r="D110" s="6" t="s">
        <v>4</v>
      </c>
      <c r="E110" s="7" t="s">
        <v>5</v>
      </c>
      <c r="F110" s="8" t="s">
        <v>6</v>
      </c>
    </row>
    <row r="111" spans="1:6" ht="33.75" customHeight="1" x14ac:dyDescent="0.2">
      <c r="A111" s="22" t="s">
        <v>177</v>
      </c>
      <c r="B111" s="13" t="s">
        <v>29</v>
      </c>
      <c r="C111" s="13" t="s">
        <v>178</v>
      </c>
      <c r="D111" s="15" t="str">
        <f>HYPERLINK("https://andrewskurka.com/2016/black-diamond-spot-headlamp-review/","Black Diamond Spot Headlamp")</f>
        <v>Black Diamond Spot Headlamp</v>
      </c>
      <c r="E111" s="28"/>
      <c r="F111" s="30"/>
    </row>
    <row r="112" spans="1:6" ht="33.75" customHeight="1" x14ac:dyDescent="0.2">
      <c r="A112" s="22" t="s">
        <v>179</v>
      </c>
      <c r="B112" s="13" t="s">
        <v>29</v>
      </c>
      <c r="C112" s="13" t="s">
        <v>180</v>
      </c>
      <c r="D112" s="15" t="str">
        <f>HYPERLINK("http://amzn.to/2eOc7ii","Victorinox Classic")</f>
        <v>Victorinox Classic</v>
      </c>
      <c r="E112" s="28"/>
      <c r="F112" s="30"/>
    </row>
    <row r="113" spans="1:6" ht="33.75" customHeight="1" x14ac:dyDescent="0.2">
      <c r="A113" s="10" t="s">
        <v>181</v>
      </c>
      <c r="B113" s="13" t="s">
        <v>8</v>
      </c>
      <c r="C113" s="13" t="s">
        <v>182</v>
      </c>
      <c r="D113" s="15" t="str">
        <f>HYPERLINK("http://andrewskurka.com/2016/backpacking-first-aid-kit-gear-list-downloadable-checklist/","Gear List: DIY First Aid Kit")</f>
        <v>Gear List: DIY First Aid Kit</v>
      </c>
      <c r="E113" s="28"/>
      <c r="F113" s="30"/>
    </row>
    <row r="114" spans="1:6" ht="33.75" customHeight="1" x14ac:dyDescent="0.2">
      <c r="A114" s="10" t="s">
        <v>183</v>
      </c>
      <c r="B114" s="13" t="s">
        <v>8</v>
      </c>
      <c r="C114" s="13" t="s">
        <v>184</v>
      </c>
      <c r="D114" s="15" t="str">
        <f>HYPERLINK("http://andrewskurka.com/2016/gear-list-backpacking-hiking-foot-care-kit-blisters-maceration/","Gear List: DIY Foot Care Kit")</f>
        <v>Gear List: DIY Foot Care Kit</v>
      </c>
      <c r="E114" s="20"/>
      <c r="F114" s="21"/>
    </row>
    <row r="115" spans="1:6" ht="33.75" customHeight="1" x14ac:dyDescent="0.2">
      <c r="A115" s="10" t="s">
        <v>185</v>
      </c>
      <c r="B115" s="13" t="s">
        <v>8</v>
      </c>
      <c r="C115" s="13" t="s">
        <v>186</v>
      </c>
      <c r="D115" s="15" t="str">
        <f>HYPERLINK("http://andrewskurka.com/2016/gear-list-backpacking-field-repair-kit-broken-torn-worn-out-gear/","Gear List: DIY Field Repair Kit")</f>
        <v>Gear List: DIY Field Repair Kit</v>
      </c>
      <c r="E115" s="28"/>
      <c r="F115" s="30"/>
    </row>
    <row r="116" spans="1:6" ht="33.75" customHeight="1" x14ac:dyDescent="0.2">
      <c r="A116" s="10" t="s">
        <v>187</v>
      </c>
      <c r="B116" s="13" t="s">
        <v>29</v>
      </c>
      <c r="C116" s="13" t="s">
        <v>188</v>
      </c>
      <c r="D116" s="15" t="str">
        <f>HYPERLINK("https://andrewskurka.com/tag/delorme-inreach/","DeLorme inReach")</f>
        <v>DeLorme inReach</v>
      </c>
      <c r="E116" s="28"/>
      <c r="F116" s="30"/>
    </row>
    <row r="117" spans="1:6" ht="33.75" customHeight="1" x14ac:dyDescent="0.2">
      <c r="A117" s="22" t="s">
        <v>189</v>
      </c>
      <c r="B117" s="13" t="s">
        <v>29</v>
      </c>
      <c r="C117" s="13" t="s">
        <v>190</v>
      </c>
      <c r="D117" s="13" t="s">
        <v>191</v>
      </c>
      <c r="E117" s="28"/>
      <c r="F117" s="30"/>
    </row>
    <row r="118" spans="1:6" ht="33.75" customHeight="1" x14ac:dyDescent="0.2">
      <c r="A118" s="10" t="s">
        <v>192</v>
      </c>
      <c r="B118" s="13" t="s">
        <v>23</v>
      </c>
      <c r="C118" s="13" t="s">
        <v>193</v>
      </c>
      <c r="D118" s="15" t="str">
        <f>HYPERLINK("http://amzn.to/2gDkFqR","Anker PowerCore 5000")</f>
        <v>Anker PowerCore 5000</v>
      </c>
      <c r="E118" s="28"/>
      <c r="F118" s="30"/>
    </row>
    <row r="119" spans="1:6" ht="33.75" customHeight="1" x14ac:dyDescent="0.2">
      <c r="A119" s="10" t="s">
        <v>194</v>
      </c>
      <c r="B119" s="13" t="s">
        <v>23</v>
      </c>
      <c r="C119" s="13" t="s">
        <v>195</v>
      </c>
      <c r="D119" s="15" t="str">
        <f>HYPERLINK("https://goo.gl/cqTVgw","Sawyer Premium Picaridin Repellent")</f>
        <v>Sawyer Premium Picaridin Repellent</v>
      </c>
      <c r="E119" s="28"/>
      <c r="F119" s="30"/>
    </row>
    <row r="120" spans="1:6" ht="33.75" customHeight="1" x14ac:dyDescent="0.2">
      <c r="A120" s="10" t="s">
        <v>196</v>
      </c>
      <c r="B120" s="13" t="s">
        <v>32</v>
      </c>
      <c r="C120" s="13" t="s">
        <v>197</v>
      </c>
      <c r="D120" s="15" t="str">
        <f>HYPERLINK("http://amzn.to/2gbDxkz","H2W Paisley Cotton Bandana")</f>
        <v>H2W Paisley Cotton Bandana</v>
      </c>
      <c r="E120" s="20"/>
      <c r="F120" s="21"/>
    </row>
    <row r="121" spans="1:6" ht="33.75" customHeight="1" x14ac:dyDescent="0.2">
      <c r="A121" s="22" t="s">
        <v>198</v>
      </c>
      <c r="B121" s="13" t="s">
        <v>23</v>
      </c>
      <c r="C121" s="13" t="s">
        <v>199</v>
      </c>
      <c r="D121" s="15" t="str">
        <f>HYPERLINK("http://goo.gl/E700Yo","Sea to Summit Mosquito Headnet")</f>
        <v>Sea to Summit Mosquito Headnet</v>
      </c>
      <c r="E121" s="20"/>
      <c r="F121" s="21"/>
    </row>
    <row r="122" spans="1:6" ht="33.75" customHeight="1" x14ac:dyDescent="0.2">
      <c r="A122" s="22" t="s">
        <v>200</v>
      </c>
      <c r="B122" s="13" t="s">
        <v>23</v>
      </c>
      <c r="C122" s="13" t="s">
        <v>201</v>
      </c>
      <c r="D122" s="15" t="str">
        <f>HYPERLINK("https://goo.gl/H67dtx","Counter Assault Bear Deterrent Spray")</f>
        <v>Counter Assault Bear Deterrent Spray</v>
      </c>
      <c r="E122" s="28"/>
      <c r="F122" s="30"/>
    </row>
    <row r="123" spans="1:6" ht="33.75" customHeight="1" x14ac:dyDescent="0.2">
      <c r="A123" s="10" t="s">
        <v>202</v>
      </c>
      <c r="B123" s="13" t="s">
        <v>32</v>
      </c>
      <c r="C123" s="13" t="s">
        <v>203</v>
      </c>
      <c r="D123" s="15" t="str">
        <f>HYPERLINK("http://goo.gl/UY8mui","Therm-a-Rest Z-Seat")</f>
        <v>Therm-a-Rest Z-Seat</v>
      </c>
      <c r="E123" s="28"/>
      <c r="F123" s="30"/>
    </row>
    <row r="124" spans="1:6" ht="33.75" customHeight="1" x14ac:dyDescent="0.2">
      <c r="A124" s="10" t="s">
        <v>204</v>
      </c>
      <c r="B124" s="13" t="s">
        <v>23</v>
      </c>
      <c r="C124" s="13" t="s">
        <v>205</v>
      </c>
      <c r="D124" s="15" t="str">
        <f>HYPERLINK("https://amzn.to/2O0EA4w","Aqua Quest Safari Tarp")</f>
        <v>Aqua Quest Safari Tarp</v>
      </c>
      <c r="E124" s="28"/>
      <c r="F124" s="30"/>
    </row>
    <row r="125" spans="1:6" ht="33.75" customHeight="1" x14ac:dyDescent="0.2">
      <c r="A125" s="13" t="s">
        <v>206</v>
      </c>
      <c r="B125" s="13" t="s">
        <v>23</v>
      </c>
      <c r="C125" s="13" t="s">
        <v>207</v>
      </c>
      <c r="D125" s="15" t="str">
        <f>HYPERLINK("http://goo.gl/qAQy8e","Kahtoola MICROspikes")</f>
        <v>Kahtoola MICROspikes</v>
      </c>
      <c r="E125" s="28"/>
      <c r="F125" s="30"/>
    </row>
    <row r="126" spans="1:6" ht="33.75" customHeight="1" x14ac:dyDescent="0.2">
      <c r="A126" s="13" t="s">
        <v>208</v>
      </c>
      <c r="B126" s="13" t="s">
        <v>23</v>
      </c>
      <c r="C126" s="13" t="s">
        <v>209</v>
      </c>
      <c r="D126" s="15" t="str">
        <f>HYPERLINK("http://goo.gl/31IuLq","CAMP USA Corsa Ice Axe")</f>
        <v>CAMP USA Corsa Ice Axe</v>
      </c>
      <c r="E126" s="28"/>
      <c r="F126" s="30"/>
    </row>
    <row r="127" spans="1:6" ht="33.75" customHeight="1" x14ac:dyDescent="0.2">
      <c r="A127" s="37"/>
      <c r="B127" s="37"/>
      <c r="C127" s="37"/>
      <c r="D127" s="37"/>
      <c r="E127" s="38"/>
      <c r="F127" s="37"/>
    </row>
    <row r="128" spans="1:6" ht="15.75" customHeight="1" x14ac:dyDescent="0.2">
      <c r="A128" s="24"/>
      <c r="B128" s="25"/>
      <c r="C128" s="25"/>
      <c r="D128" s="25"/>
      <c r="E128" s="26"/>
      <c r="F128" s="27"/>
    </row>
    <row r="129" spans="1:6" ht="26.25" customHeight="1" x14ac:dyDescent="0.2">
      <c r="A129" s="1" t="s">
        <v>210</v>
      </c>
      <c r="B129" s="2"/>
      <c r="C129" s="2"/>
      <c r="D129" s="2"/>
      <c r="E129" s="3" t="str">
        <f>A129</f>
        <v>PERSONAL ITEMS</v>
      </c>
      <c r="F129" s="4"/>
    </row>
    <row r="130" spans="1:6" ht="26.25" customHeight="1" x14ac:dyDescent="0.2">
      <c r="A130" s="6" t="s">
        <v>1</v>
      </c>
      <c r="B130" s="6" t="s">
        <v>2</v>
      </c>
      <c r="C130" s="6" t="s">
        <v>3</v>
      </c>
      <c r="D130" s="6" t="s">
        <v>4</v>
      </c>
      <c r="E130" s="7" t="s">
        <v>5</v>
      </c>
      <c r="F130" s="8" t="s">
        <v>6</v>
      </c>
    </row>
    <row r="131" spans="1:6" ht="33.75" customHeight="1" x14ac:dyDescent="0.2">
      <c r="A131" s="10" t="s">
        <v>211</v>
      </c>
      <c r="B131" s="13" t="s">
        <v>29</v>
      </c>
      <c r="C131" s="13" t="s">
        <v>212</v>
      </c>
      <c r="D131" s="13" t="s">
        <v>213</v>
      </c>
      <c r="E131" s="28"/>
      <c r="F131" s="30"/>
    </row>
    <row r="132" spans="1:6" ht="33.75" customHeight="1" x14ac:dyDescent="0.2">
      <c r="A132" s="10" t="s">
        <v>214</v>
      </c>
      <c r="B132" s="13" t="s">
        <v>29</v>
      </c>
      <c r="C132" s="13" t="s">
        <v>215</v>
      </c>
      <c r="D132" s="15" t="str">
        <f>HYPERLINK("http://amzn.to/1SM0baq","Charmin Ultra Soft")</f>
        <v>Charmin Ultra Soft</v>
      </c>
      <c r="E132" s="28"/>
      <c r="F132" s="30"/>
    </row>
    <row r="133" spans="1:6" ht="33.75" customHeight="1" x14ac:dyDescent="0.2">
      <c r="A133" s="10" t="s">
        <v>216</v>
      </c>
      <c r="B133" s="13" t="s">
        <v>32</v>
      </c>
      <c r="C133" s="13" t="s">
        <v>217</v>
      </c>
      <c r="D133" s="15" t="str">
        <f>HYPERLINK("http://goo.gl/JFbLkR","Sani-Fem Freshette Urinary Director")</f>
        <v>Sani-Fem Freshette Urinary Director</v>
      </c>
      <c r="E133" s="28"/>
      <c r="F133" s="30"/>
    </row>
    <row r="134" spans="1:6" ht="33.75" customHeight="1" x14ac:dyDescent="0.2">
      <c r="A134" s="22" t="s">
        <v>218</v>
      </c>
      <c r="B134" s="13" t="s">
        <v>8</v>
      </c>
      <c r="C134" s="13" t="s">
        <v>219</v>
      </c>
      <c r="D134" s="15" t="str">
        <f>HYPERLINK("https://www.uline.com/Product/Detail/S-17078/Bottles/Natural-Cylinder-Bottles-1-oz-Flip-Top-Cap","Purell in 1-oz bottle w/squirt cap")</f>
        <v>Purell in 1-oz bottle w/squirt cap</v>
      </c>
      <c r="E134" s="28"/>
      <c r="F134" s="30"/>
    </row>
    <row r="135" spans="1:6" ht="33.75" customHeight="1" x14ac:dyDescent="0.2">
      <c r="A135" s="10" t="s">
        <v>220</v>
      </c>
      <c r="B135" s="13" t="s">
        <v>32</v>
      </c>
      <c r="C135" s="13" t="s">
        <v>221</v>
      </c>
      <c r="D135" s="18" t="s">
        <v>222</v>
      </c>
      <c r="E135" s="28"/>
      <c r="F135" s="30"/>
    </row>
    <row r="136" spans="1:6" ht="33.75" customHeight="1" x14ac:dyDescent="0.2">
      <c r="A136" s="10" t="s">
        <v>223</v>
      </c>
      <c r="B136" s="13" t="s">
        <v>29</v>
      </c>
      <c r="C136" s="13" t="s">
        <v>224</v>
      </c>
      <c r="D136" s="15" t="str">
        <f>HYPERLINK("https://amzn.to/2Txjy3v","Neutrogena Beach Defense 70 spf")</f>
        <v>Neutrogena Beach Defense 70 spf</v>
      </c>
      <c r="E136" s="28"/>
      <c r="F136" s="30"/>
    </row>
    <row r="137" spans="1:6" ht="33.75" customHeight="1" x14ac:dyDescent="0.2">
      <c r="A137" s="10" t="s">
        <v>225</v>
      </c>
      <c r="B137" s="13" t="s">
        <v>32</v>
      </c>
      <c r="C137" s="13" t="s">
        <v>226</v>
      </c>
      <c r="D137" s="18" t="s">
        <v>227</v>
      </c>
      <c r="E137" s="28"/>
      <c r="F137" s="30"/>
    </row>
    <row r="138" spans="1:6" ht="33.75" customHeight="1" x14ac:dyDescent="0.2">
      <c r="A138" s="10" t="s">
        <v>228</v>
      </c>
      <c r="B138" s="13" t="s">
        <v>29</v>
      </c>
      <c r="C138" s="13" t="s">
        <v>229</v>
      </c>
      <c r="D138" s="15" t="str">
        <f>HYPERLINK("https://amzn.to/2XW7V4E","Canon G9X Mark II")</f>
        <v>Canon G9X Mark II</v>
      </c>
      <c r="E138" s="28"/>
      <c r="F138" s="30"/>
    </row>
    <row r="139" spans="1:6" ht="33.75" customHeight="1" x14ac:dyDescent="0.2">
      <c r="A139" s="10" t="s">
        <v>230</v>
      </c>
      <c r="B139" s="13" t="s">
        <v>32</v>
      </c>
      <c r="C139" s="13" t="s">
        <v>231</v>
      </c>
      <c r="D139" s="15" t="str">
        <f>HYPERLINK("http://amzn.to/2eGd8pv","Amazon Kindle Paperwhite")</f>
        <v>Amazon Kindle Paperwhite</v>
      </c>
      <c r="E139" s="28"/>
      <c r="F139" s="30"/>
    </row>
    <row r="140" spans="1:6" ht="33.75" customHeight="1" x14ac:dyDescent="0.2">
      <c r="A140" s="22" t="s">
        <v>232</v>
      </c>
      <c r="B140" s="13" t="s">
        <v>29</v>
      </c>
      <c r="C140" s="13" t="s">
        <v>233</v>
      </c>
      <c r="D140" s="15" t="str">
        <f>HYPERLINK("https://goo.gl/593JgT","Chums Surfshorts Wallet")</f>
        <v>Chums Surfshorts Wallet</v>
      </c>
      <c r="E140" s="28"/>
      <c r="F140" s="30"/>
    </row>
  </sheetData>
  <conditionalFormatting sqref="A3:F11 A16:F21 A26:F33 A38:F43 A48:F54 A59:F64 A69:F71 A76:F86 A91:F94 A99:F106 A111:F126 A131:F140">
    <cfRule type="expression" dxfId="0" priority="1">
      <formula>ISEVEN(ROW())</formula>
    </cfRule>
  </conditionalFormatting>
  <printOptions horizontalCentered="1" gridLines="1"/>
  <pageMargins left="0.25" right="0.25" top="0.75" bottom="0.75" header="0" footer="0"/>
  <pageSetup fitToHeight="0" pageOrder="overThenDown" orientation="portrait" cellComments="atEnd"/>
  <headerFooter>
    <oddHeader>&amp;C3-season Checklist</oddHeader>
    <oddFooter>&amp;Rwww.AndrewSkurka.com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3-Season Template</vt:lpstr>
      <vt:lpstr>3-Season Checklist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LeBrun</dc:creator>
  <cp:lastModifiedBy>steve_000</cp:lastModifiedBy>
  <dcterms:created xsi:type="dcterms:W3CDTF">2019-04-10T16:00:38Z</dcterms:created>
  <dcterms:modified xsi:type="dcterms:W3CDTF">2019-04-10T16:00:39Z</dcterms:modified>
</cp:coreProperties>
</file>