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Backpack Food Class\"/>
    </mc:Choice>
  </mc:AlternateContent>
  <xr:revisionPtr revIDLastSave="0" documentId="13_ncr:1_{657C3875-AF35-4DA7-B8E3-6867203A9FD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lpha Listings with Detail" sheetId="7" r:id="rId1"/>
    <sheet name="Calorie Density Rankings" sheetId="2" r:id="rId2"/>
    <sheet name="Dehydrated Meals" sheetId="4" r:id="rId3"/>
    <sheet name="PowerBars" sheetId="3" r:id="rId4"/>
  </sheets>
  <definedNames>
    <definedName name="_xlnm.Print_Area" localSheetId="1">'Calorie Density Rankings'!$A$1:$N$98</definedName>
    <definedName name="_xlnm.Print_Area" localSheetId="2">'Dehydrated Meals'!$A$1:$O$35</definedName>
    <definedName name="_xlnm.Print_Area" localSheetId="3">PowerBars!$A$1:$O$34</definedName>
    <definedName name="_xlnm.Print_Titles" localSheetId="1">'Calorie Density Rankings'!$1:$2</definedName>
  </definedNames>
  <calcPr calcId="181029"/>
</workbook>
</file>

<file path=xl/calcChain.xml><?xml version="1.0" encoding="utf-8"?>
<calcChain xmlns="http://schemas.openxmlformats.org/spreadsheetml/2006/main">
  <c r="N43" i="2" l="1"/>
  <c r="M43" i="2"/>
  <c r="L43" i="2"/>
  <c r="K43" i="2"/>
  <c r="J43" i="2"/>
  <c r="C43" i="2"/>
  <c r="D43" i="2"/>
  <c r="M59" i="7"/>
  <c r="L59" i="7"/>
  <c r="K59" i="7"/>
  <c r="J59" i="7"/>
  <c r="J58" i="2"/>
  <c r="K58" i="2" s="1"/>
  <c r="D58" i="2"/>
  <c r="F58" i="2"/>
  <c r="C58" i="2"/>
  <c r="E59" i="7"/>
  <c r="C59" i="7"/>
  <c r="E70" i="7"/>
  <c r="K70" i="7" s="1"/>
  <c r="L70" i="7"/>
  <c r="I70" i="7"/>
  <c r="C70" i="7"/>
  <c r="N17" i="2"/>
  <c r="M17" i="2"/>
  <c r="L17" i="2"/>
  <c r="K17" i="2"/>
  <c r="J17" i="2"/>
  <c r="C17" i="2"/>
  <c r="D17" i="2"/>
  <c r="E64" i="7"/>
  <c r="L64" i="7" s="1"/>
  <c r="E87" i="7"/>
  <c r="J87" i="7" s="1"/>
  <c r="E71" i="7"/>
  <c r="M71" i="7" s="1"/>
  <c r="I71" i="7"/>
  <c r="C71" i="7"/>
  <c r="I64" i="7"/>
  <c r="C64" i="7"/>
  <c r="K87" i="7"/>
  <c r="I87" i="7"/>
  <c r="C87" i="7"/>
  <c r="N35" i="2"/>
  <c r="M35" i="2"/>
  <c r="L35" i="2"/>
  <c r="K35" i="2"/>
  <c r="J35" i="2"/>
  <c r="D35" i="2"/>
  <c r="C35" i="2"/>
  <c r="N18" i="2"/>
  <c r="M18" i="2"/>
  <c r="L18" i="2"/>
  <c r="K18" i="2"/>
  <c r="J18" i="2"/>
  <c r="D18" i="2"/>
  <c r="C18" i="2"/>
  <c r="N10" i="2"/>
  <c r="M10" i="2"/>
  <c r="L10" i="2"/>
  <c r="K10" i="2"/>
  <c r="J10" i="2"/>
  <c r="D10" i="2"/>
  <c r="C10" i="2"/>
  <c r="K14" i="3"/>
  <c r="L14" i="3"/>
  <c r="M14" i="3"/>
  <c r="N14" i="3"/>
  <c r="O14" i="3"/>
  <c r="D14" i="3"/>
  <c r="E14" i="3"/>
  <c r="E10" i="3"/>
  <c r="D10" i="3"/>
  <c r="O10" i="3"/>
  <c r="N10" i="3"/>
  <c r="M10" i="3"/>
  <c r="L10" i="3"/>
  <c r="K10" i="3"/>
  <c r="O7" i="3"/>
  <c r="N7" i="3"/>
  <c r="M7" i="3"/>
  <c r="L7" i="3"/>
  <c r="K7" i="3"/>
  <c r="E7" i="3"/>
  <c r="D7" i="3"/>
  <c r="K28" i="4"/>
  <c r="L28" i="4"/>
  <c r="M28" i="4"/>
  <c r="N28" i="4"/>
  <c r="O28" i="4"/>
  <c r="D28" i="4"/>
  <c r="E28" i="4"/>
  <c r="L10" i="4"/>
  <c r="M10" i="4"/>
  <c r="N10" i="4"/>
  <c r="O10" i="4"/>
  <c r="K10" i="4"/>
  <c r="D10" i="4"/>
  <c r="E10" i="4"/>
  <c r="K4" i="4"/>
  <c r="L4" i="4"/>
  <c r="M4" i="4"/>
  <c r="N4" i="4"/>
  <c r="O4" i="4"/>
  <c r="D4" i="4"/>
  <c r="E4" i="4"/>
  <c r="O7" i="4"/>
  <c r="N7" i="4"/>
  <c r="M7" i="4"/>
  <c r="L7" i="4"/>
  <c r="O5" i="4"/>
  <c r="N5" i="4"/>
  <c r="M5" i="4"/>
  <c r="L5" i="4"/>
  <c r="D31" i="4"/>
  <c r="D7" i="4"/>
  <c r="D27" i="4"/>
  <c r="D25" i="4"/>
  <c r="D24" i="4"/>
  <c r="D22" i="4"/>
  <c r="D21" i="4"/>
  <c r="D15" i="4"/>
  <c r="D14" i="4"/>
  <c r="D9" i="4"/>
  <c r="D6" i="4"/>
  <c r="D5" i="4"/>
  <c r="E7" i="4"/>
  <c r="E5" i="4"/>
  <c r="K7" i="4"/>
  <c r="K5" i="4"/>
  <c r="M42" i="7"/>
  <c r="L42" i="7"/>
  <c r="K42" i="7"/>
  <c r="J42" i="7"/>
  <c r="E42" i="7"/>
  <c r="C42" i="7"/>
  <c r="M82" i="7"/>
  <c r="L82" i="7"/>
  <c r="K82" i="7"/>
  <c r="E82" i="7"/>
  <c r="C82" i="7"/>
  <c r="L87" i="7" l="1"/>
  <c r="M70" i="7"/>
  <c r="M87" i="7"/>
  <c r="J70" i="7"/>
  <c r="L58" i="2"/>
  <c r="M58" i="2"/>
  <c r="N58" i="2"/>
  <c r="M64" i="7"/>
  <c r="J71" i="7"/>
  <c r="K71" i="7"/>
  <c r="L71" i="7"/>
  <c r="J64" i="7"/>
  <c r="K64" i="7"/>
  <c r="J82" i="7"/>
  <c r="O6" i="3"/>
  <c r="N6" i="3"/>
  <c r="M6" i="3"/>
  <c r="L6" i="3"/>
  <c r="K6" i="3"/>
  <c r="E6" i="3"/>
  <c r="D6" i="3"/>
  <c r="D7" i="7"/>
  <c r="E21" i="4" l="1"/>
  <c r="O21" i="4"/>
  <c r="N21" i="4"/>
  <c r="M21" i="4"/>
  <c r="L21" i="4"/>
  <c r="K21" i="4"/>
  <c r="N31" i="2" l="1"/>
  <c r="M31" i="2"/>
  <c r="L31" i="2"/>
  <c r="K31" i="2"/>
  <c r="E31" i="2"/>
  <c r="J31" i="2" s="1"/>
  <c r="D31" i="2"/>
  <c r="C31" i="2"/>
  <c r="N42" i="2"/>
  <c r="M42" i="2"/>
  <c r="L42" i="2"/>
  <c r="K42" i="2"/>
  <c r="E42" i="2"/>
  <c r="J42" i="2" s="1"/>
  <c r="D42" i="2"/>
  <c r="C42" i="2"/>
  <c r="N8" i="2"/>
  <c r="M8" i="2"/>
  <c r="L8" i="2"/>
  <c r="K8" i="2"/>
  <c r="E8" i="2"/>
  <c r="J8" i="2" s="1"/>
  <c r="D8" i="2"/>
  <c r="C8" i="2"/>
  <c r="N46" i="2"/>
  <c r="M46" i="2"/>
  <c r="L46" i="2"/>
  <c r="K46" i="2"/>
  <c r="E46" i="2"/>
  <c r="J46" i="2" s="1"/>
  <c r="D46" i="2"/>
  <c r="C46" i="2"/>
  <c r="N91" i="2"/>
  <c r="M91" i="2"/>
  <c r="L91" i="2"/>
  <c r="K91" i="2"/>
  <c r="E91" i="2"/>
  <c r="J91" i="2" s="1"/>
  <c r="D91" i="2"/>
  <c r="C91" i="2"/>
  <c r="N79" i="2"/>
  <c r="M79" i="2"/>
  <c r="L79" i="2"/>
  <c r="K79" i="2"/>
  <c r="E79" i="2"/>
  <c r="J79" i="2" s="1"/>
  <c r="D79" i="2"/>
  <c r="C79" i="2"/>
  <c r="N61" i="2"/>
  <c r="M61" i="2"/>
  <c r="L61" i="2"/>
  <c r="K61" i="2"/>
  <c r="E61" i="2"/>
  <c r="J61" i="2" s="1"/>
  <c r="D61" i="2"/>
  <c r="C61" i="2"/>
  <c r="N12" i="2"/>
  <c r="M12" i="2"/>
  <c r="L12" i="2"/>
  <c r="K12" i="2"/>
  <c r="E12" i="2"/>
  <c r="J12" i="2" s="1"/>
  <c r="D12" i="2"/>
  <c r="C12" i="2"/>
  <c r="N5" i="2"/>
  <c r="M5" i="2"/>
  <c r="L5" i="2"/>
  <c r="E5" i="2"/>
  <c r="B5" i="2"/>
  <c r="D5" i="2" s="1"/>
  <c r="N20" i="2"/>
  <c r="M20" i="2"/>
  <c r="L20" i="2"/>
  <c r="K20" i="2"/>
  <c r="E20" i="2"/>
  <c r="J20" i="2" s="1"/>
  <c r="D20" i="2"/>
  <c r="C20" i="2"/>
  <c r="N89" i="2"/>
  <c r="M89" i="2"/>
  <c r="L89" i="2"/>
  <c r="K89" i="2"/>
  <c r="E89" i="2"/>
  <c r="J89" i="2" s="1"/>
  <c r="D89" i="2"/>
  <c r="C89" i="2"/>
  <c r="N49" i="2"/>
  <c r="M49" i="2"/>
  <c r="L49" i="2"/>
  <c r="K49" i="2"/>
  <c r="E49" i="2"/>
  <c r="J49" i="2" s="1"/>
  <c r="D49" i="2"/>
  <c r="C49" i="2"/>
  <c r="N38" i="2"/>
  <c r="M38" i="2"/>
  <c r="L38" i="2"/>
  <c r="K38" i="2"/>
  <c r="E38" i="2"/>
  <c r="J38" i="2" s="1"/>
  <c r="D38" i="2"/>
  <c r="C38" i="2"/>
  <c r="N39" i="2"/>
  <c r="M39" i="2"/>
  <c r="L39" i="2"/>
  <c r="K39" i="2"/>
  <c r="E39" i="2"/>
  <c r="J39" i="2" s="1"/>
  <c r="D39" i="2"/>
  <c r="C39" i="2"/>
  <c r="N74" i="2"/>
  <c r="M74" i="2"/>
  <c r="L74" i="2"/>
  <c r="K74" i="2"/>
  <c r="E74" i="2"/>
  <c r="J74" i="2" s="1"/>
  <c r="D74" i="2"/>
  <c r="C74" i="2"/>
  <c r="N50" i="2"/>
  <c r="M50" i="2"/>
  <c r="L50" i="2"/>
  <c r="K50" i="2"/>
  <c r="E50" i="2"/>
  <c r="J50" i="2" s="1"/>
  <c r="D50" i="2"/>
  <c r="N70" i="2"/>
  <c r="M70" i="2"/>
  <c r="L70" i="2"/>
  <c r="K70" i="2"/>
  <c r="E70" i="2"/>
  <c r="J70" i="2" s="1"/>
  <c r="D70" i="2"/>
  <c r="C70" i="2"/>
  <c r="G30" i="2"/>
  <c r="B30" i="2"/>
  <c r="D30" i="2" s="1"/>
  <c r="N44" i="2"/>
  <c r="M44" i="2"/>
  <c r="L44" i="2"/>
  <c r="K44" i="2"/>
  <c r="E44" i="2"/>
  <c r="J44" i="2" s="1"/>
  <c r="D44" i="2"/>
  <c r="C44" i="2"/>
  <c r="N73" i="2"/>
  <c r="M73" i="2"/>
  <c r="L73" i="2"/>
  <c r="K73" i="2"/>
  <c r="E73" i="2"/>
  <c r="J73" i="2" s="1"/>
  <c r="D73" i="2"/>
  <c r="C73" i="2"/>
  <c r="N87" i="2"/>
  <c r="M87" i="2"/>
  <c r="L87" i="2"/>
  <c r="K87" i="2"/>
  <c r="E87" i="2"/>
  <c r="J87" i="2" s="1"/>
  <c r="D87" i="2"/>
  <c r="C87" i="2"/>
  <c r="N7" i="2"/>
  <c r="M7" i="2"/>
  <c r="L7" i="2"/>
  <c r="K7" i="2"/>
  <c r="E7" i="2"/>
  <c r="J7" i="2" s="1"/>
  <c r="D7" i="2"/>
  <c r="C7" i="2"/>
  <c r="I16" i="2"/>
  <c r="I30" i="2" s="1"/>
  <c r="H16" i="2"/>
  <c r="F16" i="2"/>
  <c r="F30" i="2" s="1"/>
  <c r="D16" i="2"/>
  <c r="C16" i="2"/>
  <c r="N45" i="2"/>
  <c r="M45" i="2"/>
  <c r="L45" i="2"/>
  <c r="K45" i="2"/>
  <c r="E45" i="2"/>
  <c r="J45" i="2" s="1"/>
  <c r="D45" i="2"/>
  <c r="C45" i="2"/>
  <c r="N59" i="2"/>
  <c r="M59" i="2"/>
  <c r="L59" i="2"/>
  <c r="K59" i="2"/>
  <c r="E59" i="2"/>
  <c r="J59" i="2" s="1"/>
  <c r="D59" i="2"/>
  <c r="C59" i="2"/>
  <c r="N86" i="2"/>
  <c r="M86" i="2"/>
  <c r="L86" i="2"/>
  <c r="K86" i="2"/>
  <c r="E86" i="2"/>
  <c r="J86" i="2" s="1"/>
  <c r="D86" i="2"/>
  <c r="C86" i="2"/>
  <c r="N60" i="2"/>
  <c r="M60" i="2"/>
  <c r="L60" i="2"/>
  <c r="K60" i="2"/>
  <c r="E60" i="2"/>
  <c r="J60" i="2" s="1"/>
  <c r="D60" i="2"/>
  <c r="C60" i="2"/>
  <c r="N28" i="2"/>
  <c r="M28" i="2"/>
  <c r="L28" i="2"/>
  <c r="K28" i="2"/>
  <c r="E28" i="2"/>
  <c r="J28" i="2" s="1"/>
  <c r="D28" i="2"/>
  <c r="C28" i="2"/>
  <c r="N80" i="2"/>
  <c r="M80" i="2"/>
  <c r="L80" i="2"/>
  <c r="K80" i="2"/>
  <c r="E80" i="2"/>
  <c r="J80" i="2" s="1"/>
  <c r="D80" i="2"/>
  <c r="C80" i="2"/>
  <c r="N26" i="2"/>
  <c r="M26" i="2"/>
  <c r="L26" i="2"/>
  <c r="K26" i="2"/>
  <c r="E26" i="2"/>
  <c r="J26" i="2" s="1"/>
  <c r="D26" i="2"/>
  <c r="N15" i="2"/>
  <c r="M15" i="2"/>
  <c r="L15" i="2"/>
  <c r="K15" i="2"/>
  <c r="E15" i="2"/>
  <c r="J15" i="2" s="1"/>
  <c r="D15" i="2"/>
  <c r="C15" i="2"/>
  <c r="N6" i="2"/>
  <c r="M6" i="2"/>
  <c r="L6" i="2"/>
  <c r="K6" i="2"/>
  <c r="E6" i="2"/>
  <c r="J6" i="2" s="1"/>
  <c r="D6" i="2"/>
  <c r="C6" i="2"/>
  <c r="N56" i="2"/>
  <c r="M56" i="2"/>
  <c r="L56" i="2"/>
  <c r="K56" i="2"/>
  <c r="E56" i="2"/>
  <c r="J56" i="2" s="1"/>
  <c r="D56" i="2"/>
  <c r="C56" i="2"/>
  <c r="N77" i="2"/>
  <c r="M77" i="2"/>
  <c r="L77" i="2"/>
  <c r="K77" i="2"/>
  <c r="E77" i="2"/>
  <c r="J77" i="2" s="1"/>
  <c r="D77" i="2"/>
  <c r="C77" i="2"/>
  <c r="N72" i="2"/>
  <c r="M72" i="2"/>
  <c r="L72" i="2"/>
  <c r="K72" i="2"/>
  <c r="E72" i="2"/>
  <c r="J72" i="2" s="1"/>
  <c r="D72" i="2"/>
  <c r="C72" i="2"/>
  <c r="N48" i="2"/>
  <c r="M48" i="2"/>
  <c r="L48" i="2"/>
  <c r="K48" i="2"/>
  <c r="E48" i="2"/>
  <c r="J48" i="2" s="1"/>
  <c r="D48" i="2"/>
  <c r="C48" i="2"/>
  <c r="N71" i="2"/>
  <c r="M71" i="2"/>
  <c r="L71" i="2"/>
  <c r="K71" i="2"/>
  <c r="E71" i="2"/>
  <c r="J71" i="2" s="1"/>
  <c r="D71" i="2"/>
  <c r="C71" i="2"/>
  <c r="N66" i="2"/>
  <c r="M66" i="2"/>
  <c r="L66" i="2"/>
  <c r="K66" i="2"/>
  <c r="E66" i="2"/>
  <c r="J66" i="2" s="1"/>
  <c r="D66" i="2"/>
  <c r="C66" i="2"/>
  <c r="N54" i="2"/>
  <c r="M54" i="2"/>
  <c r="L54" i="2"/>
  <c r="K54" i="2"/>
  <c r="E54" i="2"/>
  <c r="J54" i="2" s="1"/>
  <c r="D54" i="2"/>
  <c r="C54" i="2"/>
  <c r="N53" i="2"/>
  <c r="M53" i="2"/>
  <c r="L53" i="2"/>
  <c r="K53" i="2"/>
  <c r="E53" i="2"/>
  <c r="J53" i="2" s="1"/>
  <c r="D53" i="2"/>
  <c r="C53" i="2"/>
  <c r="N65" i="2"/>
  <c r="M65" i="2"/>
  <c r="L65" i="2"/>
  <c r="K65" i="2"/>
  <c r="E65" i="2"/>
  <c r="J65" i="2" s="1"/>
  <c r="D65" i="2"/>
  <c r="C65" i="2"/>
  <c r="I63" i="2"/>
  <c r="H63" i="2"/>
  <c r="G63" i="2"/>
  <c r="F63" i="2"/>
  <c r="B63" i="2"/>
  <c r="D63" i="2" s="1"/>
  <c r="N47" i="2"/>
  <c r="M47" i="2"/>
  <c r="L47" i="2"/>
  <c r="K47" i="2"/>
  <c r="E47" i="2"/>
  <c r="J47" i="2" s="1"/>
  <c r="D47" i="2"/>
  <c r="C47" i="2"/>
  <c r="N83" i="2"/>
  <c r="M83" i="2"/>
  <c r="L83" i="2"/>
  <c r="K83" i="2"/>
  <c r="E83" i="2"/>
  <c r="J83" i="2" s="1"/>
  <c r="D83" i="2"/>
  <c r="C83" i="2"/>
  <c r="N57" i="2"/>
  <c r="M57" i="2"/>
  <c r="L57" i="2"/>
  <c r="K57" i="2"/>
  <c r="E57" i="2"/>
  <c r="J57" i="2" s="1"/>
  <c r="D57" i="2"/>
  <c r="C57" i="2"/>
  <c r="N68" i="2"/>
  <c r="M68" i="2"/>
  <c r="L68" i="2"/>
  <c r="K68" i="2"/>
  <c r="E68" i="2"/>
  <c r="J68" i="2" s="1"/>
  <c r="D68" i="2"/>
  <c r="C68" i="2"/>
  <c r="N82" i="2"/>
  <c r="M82" i="2"/>
  <c r="L82" i="2"/>
  <c r="K82" i="2"/>
  <c r="E82" i="2"/>
  <c r="J82" i="2" s="1"/>
  <c r="D82" i="2"/>
  <c r="C82" i="2"/>
  <c r="N24" i="2"/>
  <c r="M24" i="2"/>
  <c r="L24" i="2"/>
  <c r="K24" i="2"/>
  <c r="E24" i="2"/>
  <c r="J24" i="2" s="1"/>
  <c r="D24" i="2"/>
  <c r="C24" i="2"/>
  <c r="N75" i="2"/>
  <c r="M75" i="2"/>
  <c r="L75" i="2"/>
  <c r="K75" i="2"/>
  <c r="E75" i="2"/>
  <c r="J75" i="2" s="1"/>
  <c r="D75" i="2"/>
  <c r="C75" i="2"/>
  <c r="N69" i="2"/>
  <c r="M69" i="2"/>
  <c r="L69" i="2"/>
  <c r="K69" i="2"/>
  <c r="E69" i="2"/>
  <c r="J69" i="2" s="1"/>
  <c r="D69" i="2"/>
  <c r="C69" i="2"/>
  <c r="N22" i="2"/>
  <c r="M22" i="2"/>
  <c r="L22" i="2"/>
  <c r="K22" i="2"/>
  <c r="E22" i="2"/>
  <c r="J22" i="2" s="1"/>
  <c r="D22" i="2"/>
  <c r="C22" i="2"/>
  <c r="N4" i="2"/>
  <c r="M4" i="2"/>
  <c r="L4" i="2"/>
  <c r="K4" i="2"/>
  <c r="E4" i="2"/>
  <c r="J4" i="2" s="1"/>
  <c r="D4" i="2"/>
  <c r="C4" i="2"/>
  <c r="N62" i="2"/>
  <c r="M62" i="2"/>
  <c r="L62" i="2"/>
  <c r="K62" i="2"/>
  <c r="E62" i="2"/>
  <c r="J62" i="2" s="1"/>
  <c r="D62" i="2"/>
  <c r="C62" i="2"/>
  <c r="N51" i="2"/>
  <c r="M51" i="2"/>
  <c r="L51" i="2"/>
  <c r="K51" i="2"/>
  <c r="E51" i="2"/>
  <c r="J51" i="2" s="1"/>
  <c r="D51" i="2"/>
  <c r="C51" i="2"/>
  <c r="N90" i="2"/>
  <c r="M90" i="2"/>
  <c r="L90" i="2"/>
  <c r="K90" i="2"/>
  <c r="E90" i="2"/>
  <c r="J90" i="2" s="1"/>
  <c r="D90" i="2"/>
  <c r="C90" i="2"/>
  <c r="N78" i="2"/>
  <c r="M78" i="2"/>
  <c r="L78" i="2"/>
  <c r="K78" i="2"/>
  <c r="E78" i="2"/>
  <c r="J78" i="2" s="1"/>
  <c r="D78" i="2"/>
  <c r="C78" i="2"/>
  <c r="N84" i="2"/>
  <c r="M84" i="2"/>
  <c r="L84" i="2"/>
  <c r="K84" i="2"/>
  <c r="E84" i="2"/>
  <c r="J84" i="2" s="1"/>
  <c r="D84" i="2"/>
  <c r="C84" i="2"/>
  <c r="N81" i="2"/>
  <c r="M81" i="2"/>
  <c r="L81" i="2"/>
  <c r="K81" i="2"/>
  <c r="E81" i="2"/>
  <c r="J81" i="2" s="1"/>
  <c r="D81" i="2"/>
  <c r="C81" i="2"/>
  <c r="N32" i="2"/>
  <c r="M32" i="2"/>
  <c r="L32" i="2"/>
  <c r="K32" i="2"/>
  <c r="E32" i="2"/>
  <c r="J32" i="2" s="1"/>
  <c r="D32" i="2"/>
  <c r="C32" i="2"/>
  <c r="N88" i="2"/>
  <c r="M88" i="2"/>
  <c r="L88" i="2"/>
  <c r="K88" i="2"/>
  <c r="E88" i="2"/>
  <c r="J88" i="2" s="1"/>
  <c r="D88" i="2"/>
  <c r="C88" i="2"/>
  <c r="N76" i="2"/>
  <c r="M76" i="2"/>
  <c r="L76" i="2"/>
  <c r="K76" i="2"/>
  <c r="E76" i="2"/>
  <c r="J76" i="2" s="1"/>
  <c r="D76" i="2"/>
  <c r="C76" i="2"/>
  <c r="N37" i="2"/>
  <c r="M37" i="2"/>
  <c r="L37" i="2"/>
  <c r="K37" i="2"/>
  <c r="E37" i="2"/>
  <c r="J37" i="2" s="1"/>
  <c r="D37" i="2"/>
  <c r="C37" i="2"/>
  <c r="N67" i="2"/>
  <c r="M67" i="2"/>
  <c r="L67" i="2"/>
  <c r="K67" i="2"/>
  <c r="E67" i="2"/>
  <c r="J67" i="2" s="1"/>
  <c r="D67" i="2"/>
  <c r="C67" i="2"/>
  <c r="N34" i="2"/>
  <c r="M34" i="2"/>
  <c r="L34" i="2"/>
  <c r="K34" i="2"/>
  <c r="E34" i="2"/>
  <c r="J34" i="2" s="1"/>
  <c r="D34" i="2"/>
  <c r="C34" i="2"/>
  <c r="N64" i="2"/>
  <c r="M64" i="2"/>
  <c r="L64" i="2"/>
  <c r="K64" i="2"/>
  <c r="E64" i="2"/>
  <c r="J64" i="2" s="1"/>
  <c r="D64" i="2"/>
  <c r="C64" i="2"/>
  <c r="N23" i="2"/>
  <c r="M23" i="2"/>
  <c r="L23" i="2"/>
  <c r="K23" i="2"/>
  <c r="E23" i="2"/>
  <c r="J23" i="2" s="1"/>
  <c r="D23" i="2"/>
  <c r="C23" i="2"/>
  <c r="N25" i="2"/>
  <c r="M25" i="2"/>
  <c r="L25" i="2"/>
  <c r="K25" i="2"/>
  <c r="E25" i="2"/>
  <c r="J25" i="2" s="1"/>
  <c r="D25" i="2"/>
  <c r="C25" i="2"/>
  <c r="N19" i="2"/>
  <c r="M19" i="2"/>
  <c r="L19" i="2"/>
  <c r="K19" i="2"/>
  <c r="E19" i="2"/>
  <c r="J19" i="2" s="1"/>
  <c r="D19" i="2"/>
  <c r="C19" i="2"/>
  <c r="N36" i="2"/>
  <c r="M36" i="2"/>
  <c r="L36" i="2"/>
  <c r="K36" i="2"/>
  <c r="E36" i="2"/>
  <c r="J36" i="2" s="1"/>
  <c r="D36" i="2"/>
  <c r="C36" i="2"/>
  <c r="N21" i="2"/>
  <c r="M21" i="2"/>
  <c r="L21" i="2"/>
  <c r="K21" i="2"/>
  <c r="E21" i="2"/>
  <c r="J21" i="2" s="1"/>
  <c r="D21" i="2"/>
  <c r="C21" i="2"/>
  <c r="N52" i="2"/>
  <c r="M52" i="2"/>
  <c r="L52" i="2"/>
  <c r="K52" i="2"/>
  <c r="E52" i="2"/>
  <c r="J52" i="2" s="1"/>
  <c r="D52" i="2"/>
  <c r="C52" i="2"/>
  <c r="N13" i="2"/>
  <c r="M13" i="2"/>
  <c r="L13" i="2"/>
  <c r="K13" i="2"/>
  <c r="E13" i="2"/>
  <c r="J13" i="2" s="1"/>
  <c r="D13" i="2"/>
  <c r="C13" i="2"/>
  <c r="I9" i="2"/>
  <c r="H9" i="2"/>
  <c r="G9" i="2"/>
  <c r="D9" i="2"/>
  <c r="C9" i="2"/>
  <c r="I41" i="2"/>
  <c r="H41" i="2"/>
  <c r="G41" i="2"/>
  <c r="F41" i="2"/>
  <c r="B41" i="2"/>
  <c r="D41" i="2" s="1"/>
  <c r="N27" i="2"/>
  <c r="M27" i="2"/>
  <c r="L27" i="2"/>
  <c r="K27" i="2"/>
  <c r="E27" i="2"/>
  <c r="J27" i="2" s="1"/>
  <c r="D27" i="2"/>
  <c r="C27" i="2"/>
  <c r="N85" i="2"/>
  <c r="M85" i="2"/>
  <c r="L85" i="2"/>
  <c r="K85" i="2"/>
  <c r="E85" i="2"/>
  <c r="J85" i="2" s="1"/>
  <c r="D85" i="2"/>
  <c r="C85" i="2"/>
  <c r="N40" i="2"/>
  <c r="M40" i="2"/>
  <c r="L40" i="2"/>
  <c r="K40" i="2"/>
  <c r="E40" i="2"/>
  <c r="J40" i="2" s="1"/>
  <c r="D40" i="2"/>
  <c r="C40" i="2"/>
  <c r="N29" i="2"/>
  <c r="M29" i="2"/>
  <c r="L29" i="2"/>
  <c r="K29" i="2"/>
  <c r="E29" i="2"/>
  <c r="J29" i="2" s="1"/>
  <c r="D29" i="2"/>
  <c r="C29" i="2"/>
  <c r="N33" i="2"/>
  <c r="M33" i="2"/>
  <c r="L33" i="2"/>
  <c r="K33" i="2"/>
  <c r="E33" i="2"/>
  <c r="J33" i="2" s="1"/>
  <c r="D33" i="2"/>
  <c r="C33" i="2"/>
  <c r="N14" i="2"/>
  <c r="M14" i="2"/>
  <c r="L14" i="2"/>
  <c r="K14" i="2"/>
  <c r="E14" i="2"/>
  <c r="J14" i="2" s="1"/>
  <c r="D14" i="2"/>
  <c r="C14" i="2"/>
  <c r="N11" i="2"/>
  <c r="M11" i="2"/>
  <c r="L11" i="2"/>
  <c r="K11" i="2"/>
  <c r="E11" i="2"/>
  <c r="J11" i="2" s="1"/>
  <c r="D11" i="2"/>
  <c r="C11" i="2"/>
  <c r="M74" i="7"/>
  <c r="L74" i="7"/>
  <c r="K74" i="7"/>
  <c r="J74" i="7"/>
  <c r="C74" i="7"/>
  <c r="D74" i="7"/>
  <c r="E74" i="7" s="1"/>
  <c r="M88" i="7"/>
  <c r="L88" i="7"/>
  <c r="K88" i="7"/>
  <c r="J88" i="7"/>
  <c r="D88" i="7"/>
  <c r="E88" i="7" s="1"/>
  <c r="C88" i="7"/>
  <c r="M89" i="7"/>
  <c r="L89" i="7"/>
  <c r="K89" i="7"/>
  <c r="J89" i="7"/>
  <c r="D89" i="7"/>
  <c r="E89" i="7" s="1"/>
  <c r="C89" i="7"/>
  <c r="M84" i="7"/>
  <c r="L84" i="7"/>
  <c r="K84" i="7"/>
  <c r="J84" i="7"/>
  <c r="D84" i="7"/>
  <c r="E84" i="7" s="1"/>
  <c r="C84" i="7"/>
  <c r="M81" i="7"/>
  <c r="L81" i="7"/>
  <c r="K81" i="7"/>
  <c r="J81" i="7"/>
  <c r="D81" i="7"/>
  <c r="E81" i="7" s="1"/>
  <c r="C81" i="7"/>
  <c r="M55" i="7"/>
  <c r="L55" i="7"/>
  <c r="K55" i="7"/>
  <c r="J55" i="7"/>
  <c r="D55" i="7"/>
  <c r="E55" i="7" s="1"/>
  <c r="C55" i="7"/>
  <c r="M66" i="7"/>
  <c r="L66" i="7"/>
  <c r="K66" i="7"/>
  <c r="J66" i="7"/>
  <c r="D66" i="7"/>
  <c r="E66" i="7" s="1"/>
  <c r="C66" i="7"/>
  <c r="M62" i="7"/>
  <c r="L62" i="7"/>
  <c r="K62" i="7"/>
  <c r="J62" i="7"/>
  <c r="D62" i="7"/>
  <c r="E62" i="7" s="1"/>
  <c r="C62" i="7"/>
  <c r="M58" i="7"/>
  <c r="L58" i="7"/>
  <c r="K58" i="7"/>
  <c r="J58" i="7"/>
  <c r="D58" i="7"/>
  <c r="E58" i="7" s="1"/>
  <c r="C58" i="7"/>
  <c r="M56" i="7"/>
  <c r="L56" i="7"/>
  <c r="K56" i="7"/>
  <c r="J56" i="7"/>
  <c r="D56" i="7"/>
  <c r="E56" i="7" s="1"/>
  <c r="C56" i="7"/>
  <c r="M48" i="7"/>
  <c r="L48" i="7"/>
  <c r="K48" i="7"/>
  <c r="J48" i="7"/>
  <c r="D48" i="7"/>
  <c r="E48" i="7" s="1"/>
  <c r="C48" i="7"/>
  <c r="M47" i="7"/>
  <c r="L47" i="7"/>
  <c r="K47" i="7"/>
  <c r="J47" i="7"/>
  <c r="D47" i="7"/>
  <c r="E47" i="7" s="1"/>
  <c r="C47" i="7"/>
  <c r="M46" i="7"/>
  <c r="L46" i="7"/>
  <c r="K46" i="7"/>
  <c r="J46" i="7"/>
  <c r="D46" i="7"/>
  <c r="E46" i="7" s="1"/>
  <c r="C46" i="7"/>
  <c r="M44" i="7"/>
  <c r="L44" i="7"/>
  <c r="K44" i="7"/>
  <c r="J44" i="7"/>
  <c r="D44" i="7"/>
  <c r="E44" i="7" s="1"/>
  <c r="C44" i="7"/>
  <c r="M40" i="7"/>
  <c r="L40" i="7"/>
  <c r="K40" i="7"/>
  <c r="J40" i="7"/>
  <c r="D40" i="7"/>
  <c r="E40" i="7" s="1"/>
  <c r="C40" i="7"/>
  <c r="M39" i="7"/>
  <c r="L39" i="7"/>
  <c r="K39" i="7"/>
  <c r="J39" i="7"/>
  <c r="D39" i="7"/>
  <c r="E39" i="7" s="1"/>
  <c r="C39" i="7"/>
  <c r="M38" i="7"/>
  <c r="L38" i="7"/>
  <c r="K38" i="7"/>
  <c r="J38" i="7"/>
  <c r="D38" i="7"/>
  <c r="E38" i="7" s="1"/>
  <c r="C38" i="7"/>
  <c r="M37" i="7"/>
  <c r="L37" i="7"/>
  <c r="K37" i="7"/>
  <c r="J37" i="7"/>
  <c r="D37" i="7"/>
  <c r="E37" i="7" s="1"/>
  <c r="C37" i="7"/>
  <c r="M35" i="7"/>
  <c r="L35" i="7"/>
  <c r="K35" i="7"/>
  <c r="J35" i="7"/>
  <c r="D35" i="7"/>
  <c r="E35" i="7" s="1"/>
  <c r="C35" i="7"/>
  <c r="M25" i="7"/>
  <c r="L25" i="7"/>
  <c r="K25" i="7"/>
  <c r="J25" i="7"/>
  <c r="D25" i="7"/>
  <c r="E25" i="7" s="1"/>
  <c r="C25" i="7"/>
  <c r="M23" i="7"/>
  <c r="L23" i="7"/>
  <c r="K23" i="7"/>
  <c r="J23" i="7"/>
  <c r="D23" i="7"/>
  <c r="E23" i="7" s="1"/>
  <c r="C23" i="7"/>
  <c r="M22" i="7"/>
  <c r="L22" i="7"/>
  <c r="K22" i="7"/>
  <c r="J22" i="7"/>
  <c r="D22" i="7"/>
  <c r="E22" i="7" s="1"/>
  <c r="C22" i="7"/>
  <c r="M20" i="7"/>
  <c r="L20" i="7"/>
  <c r="K20" i="7"/>
  <c r="J20" i="7"/>
  <c r="D20" i="7"/>
  <c r="E20" i="7" s="1"/>
  <c r="C20" i="7"/>
  <c r="M9" i="7"/>
  <c r="L9" i="7"/>
  <c r="K9" i="7"/>
  <c r="J9" i="7"/>
  <c r="D9" i="7"/>
  <c r="E9" i="7" s="1"/>
  <c r="C9" i="7"/>
  <c r="M6" i="7"/>
  <c r="L6" i="7"/>
  <c r="K6" i="7"/>
  <c r="J6" i="7"/>
  <c r="D6" i="7"/>
  <c r="E6" i="7" s="1"/>
  <c r="C6" i="7"/>
  <c r="M29" i="7"/>
  <c r="L29" i="7"/>
  <c r="K29" i="7"/>
  <c r="J29" i="7"/>
  <c r="D29" i="7"/>
  <c r="E29" i="7" s="1"/>
  <c r="C29" i="7"/>
  <c r="M80" i="7"/>
  <c r="L80" i="7"/>
  <c r="K80" i="7"/>
  <c r="J80" i="7"/>
  <c r="D80" i="7"/>
  <c r="E80" i="7" s="1"/>
  <c r="C80" i="7"/>
  <c r="M24" i="7"/>
  <c r="L24" i="7"/>
  <c r="K24" i="7"/>
  <c r="J24" i="7"/>
  <c r="D24" i="7"/>
  <c r="E24" i="7" s="1"/>
  <c r="C24" i="7"/>
  <c r="M67" i="7"/>
  <c r="L67" i="7"/>
  <c r="K67" i="7"/>
  <c r="J67" i="7"/>
  <c r="D67" i="7"/>
  <c r="E67" i="7" s="1"/>
  <c r="C67" i="7"/>
  <c r="M61" i="7"/>
  <c r="L61" i="7"/>
  <c r="K61" i="7"/>
  <c r="J61" i="7"/>
  <c r="D61" i="7"/>
  <c r="E61" i="7" s="1"/>
  <c r="C61" i="7"/>
  <c r="M8" i="7"/>
  <c r="L8" i="7"/>
  <c r="K8" i="7"/>
  <c r="J8" i="7"/>
  <c r="D8" i="7"/>
  <c r="E8" i="7" s="1"/>
  <c r="C8" i="7"/>
  <c r="M27" i="7"/>
  <c r="L27" i="7"/>
  <c r="K27" i="7"/>
  <c r="J27" i="7"/>
  <c r="D27" i="7"/>
  <c r="E27" i="7" s="1"/>
  <c r="C27" i="7"/>
  <c r="M41" i="7"/>
  <c r="L41" i="7"/>
  <c r="K41" i="7"/>
  <c r="J41" i="7"/>
  <c r="D41" i="7"/>
  <c r="E41" i="7" s="1"/>
  <c r="C41" i="7"/>
  <c r="M26" i="7"/>
  <c r="L26" i="7"/>
  <c r="K26" i="7"/>
  <c r="J26" i="7"/>
  <c r="D26" i="7"/>
  <c r="E26" i="7" s="1"/>
  <c r="C26" i="7"/>
  <c r="M86" i="7"/>
  <c r="L86" i="7"/>
  <c r="K86" i="7"/>
  <c r="J86" i="7"/>
  <c r="D86" i="7"/>
  <c r="E86" i="7" s="1"/>
  <c r="C86" i="7"/>
  <c r="M28" i="7"/>
  <c r="L28" i="7"/>
  <c r="K28" i="7"/>
  <c r="J28" i="7"/>
  <c r="D28" i="7"/>
  <c r="E28" i="7" s="1"/>
  <c r="C28" i="7"/>
  <c r="M51" i="7"/>
  <c r="L51" i="7"/>
  <c r="K51" i="7"/>
  <c r="J51" i="7"/>
  <c r="D51" i="7"/>
  <c r="E51" i="7" s="1"/>
  <c r="C51" i="7"/>
  <c r="M75" i="7"/>
  <c r="L75" i="7"/>
  <c r="K75" i="7"/>
  <c r="J75" i="7"/>
  <c r="D75" i="7"/>
  <c r="E75" i="7" s="1"/>
  <c r="C75" i="7"/>
  <c r="M68" i="7"/>
  <c r="L68" i="7"/>
  <c r="K68" i="7"/>
  <c r="J68" i="7"/>
  <c r="D68" i="7"/>
  <c r="E68" i="7" s="1"/>
  <c r="C68" i="7"/>
  <c r="M34" i="7"/>
  <c r="L34" i="7"/>
  <c r="K34" i="7"/>
  <c r="J34" i="7"/>
  <c r="D34" i="7"/>
  <c r="E34" i="7" s="1"/>
  <c r="C34" i="7"/>
  <c r="M73" i="7"/>
  <c r="L73" i="7"/>
  <c r="K73" i="7"/>
  <c r="J73" i="7"/>
  <c r="D73" i="7"/>
  <c r="E73" i="7" s="1"/>
  <c r="C73" i="7"/>
  <c r="M50" i="7"/>
  <c r="L50" i="7"/>
  <c r="K50" i="7"/>
  <c r="J50" i="7"/>
  <c r="D50" i="7"/>
  <c r="E50" i="7" s="1"/>
  <c r="C50" i="7"/>
  <c r="M21" i="7"/>
  <c r="L21" i="7"/>
  <c r="K21" i="7"/>
  <c r="J21" i="7"/>
  <c r="D21" i="7"/>
  <c r="E21" i="7" s="1"/>
  <c r="C21" i="7"/>
  <c r="M19" i="7"/>
  <c r="L19" i="7"/>
  <c r="K19" i="7"/>
  <c r="J19" i="7"/>
  <c r="D19" i="7"/>
  <c r="E19" i="7" s="1"/>
  <c r="C19" i="7"/>
  <c r="M31" i="7"/>
  <c r="L31" i="7"/>
  <c r="K31" i="7"/>
  <c r="J31" i="7"/>
  <c r="D31" i="7"/>
  <c r="E31" i="7" s="1"/>
  <c r="C31" i="7"/>
  <c r="M85" i="7"/>
  <c r="L85" i="7"/>
  <c r="K85" i="7"/>
  <c r="J85" i="7"/>
  <c r="D85" i="7"/>
  <c r="E85" i="7" s="1"/>
  <c r="C85" i="7"/>
  <c r="M60" i="7"/>
  <c r="L60" i="7"/>
  <c r="K60" i="7"/>
  <c r="J60" i="7"/>
  <c r="D60" i="7"/>
  <c r="E60" i="7" s="1"/>
  <c r="C60" i="7"/>
  <c r="M77" i="7"/>
  <c r="L77" i="7"/>
  <c r="K77" i="7"/>
  <c r="J77" i="7"/>
  <c r="D77" i="7"/>
  <c r="E77" i="7" s="1"/>
  <c r="C77" i="7"/>
  <c r="M52" i="7"/>
  <c r="L52" i="7"/>
  <c r="K52" i="7"/>
  <c r="J52" i="7"/>
  <c r="D52" i="7"/>
  <c r="E52" i="7" s="1"/>
  <c r="C52" i="7"/>
  <c r="M13" i="7"/>
  <c r="L13" i="7"/>
  <c r="K13" i="7"/>
  <c r="J13" i="7"/>
  <c r="D13" i="7"/>
  <c r="E13" i="7" s="1"/>
  <c r="C13" i="7"/>
  <c r="M30" i="7"/>
  <c r="L30" i="7"/>
  <c r="K30" i="7"/>
  <c r="J30" i="7"/>
  <c r="D30" i="7"/>
  <c r="E30" i="7" s="1"/>
  <c r="C30" i="7"/>
  <c r="M45" i="7"/>
  <c r="L45" i="7"/>
  <c r="K45" i="7"/>
  <c r="J45" i="7"/>
  <c r="D45" i="7"/>
  <c r="E45" i="7" s="1"/>
  <c r="C45" i="7"/>
  <c r="M49" i="7"/>
  <c r="L49" i="7"/>
  <c r="K49" i="7"/>
  <c r="J49" i="7"/>
  <c r="D49" i="7"/>
  <c r="E49" i="7" s="1"/>
  <c r="C49" i="7"/>
  <c r="M79" i="7"/>
  <c r="L79" i="7"/>
  <c r="K79" i="7"/>
  <c r="J79" i="7"/>
  <c r="D79" i="7"/>
  <c r="E79" i="7" s="1"/>
  <c r="C79" i="7"/>
  <c r="M63" i="7"/>
  <c r="L63" i="7"/>
  <c r="K63" i="7"/>
  <c r="J63" i="7"/>
  <c r="D63" i="7"/>
  <c r="E63" i="7" s="1"/>
  <c r="C63" i="7"/>
  <c r="M69" i="7"/>
  <c r="L69" i="7"/>
  <c r="K69" i="7"/>
  <c r="J69" i="7"/>
  <c r="D69" i="7"/>
  <c r="E69" i="7" s="1"/>
  <c r="C69" i="7"/>
  <c r="M91" i="7"/>
  <c r="L91" i="7"/>
  <c r="K91" i="7"/>
  <c r="J91" i="7"/>
  <c r="D91" i="7"/>
  <c r="E91" i="7" s="1"/>
  <c r="C91" i="7"/>
  <c r="I43" i="7"/>
  <c r="H43" i="7"/>
  <c r="G43" i="7"/>
  <c r="F43" i="7"/>
  <c r="B43" i="7"/>
  <c r="C43" i="7" s="1"/>
  <c r="M7" i="7"/>
  <c r="L7" i="7"/>
  <c r="K7" i="7"/>
  <c r="J7" i="7"/>
  <c r="E7" i="7"/>
  <c r="C7" i="7"/>
  <c r="M76" i="7"/>
  <c r="L76" i="7"/>
  <c r="K76" i="7"/>
  <c r="J76" i="7"/>
  <c r="D76" i="7"/>
  <c r="E76" i="7" s="1"/>
  <c r="C76" i="7"/>
  <c r="G72" i="7"/>
  <c r="B72" i="7"/>
  <c r="C72" i="7" s="1"/>
  <c r="M78" i="7"/>
  <c r="L78" i="7"/>
  <c r="K78" i="7"/>
  <c r="J78" i="7"/>
  <c r="D78" i="7"/>
  <c r="E78" i="7" s="1"/>
  <c r="C78" i="7"/>
  <c r="M15" i="7"/>
  <c r="L15" i="7"/>
  <c r="K15" i="7"/>
  <c r="J15" i="7"/>
  <c r="D15" i="7"/>
  <c r="E15" i="7" s="1"/>
  <c r="C15" i="7"/>
  <c r="I10" i="7"/>
  <c r="H10" i="7"/>
  <c r="G10" i="7"/>
  <c r="F10" i="7"/>
  <c r="B10" i="7"/>
  <c r="C10" i="7" s="1"/>
  <c r="M5" i="7"/>
  <c r="L5" i="7"/>
  <c r="K5" i="7"/>
  <c r="J5" i="7"/>
  <c r="D5" i="7"/>
  <c r="E5" i="7" s="1"/>
  <c r="C5" i="7"/>
  <c r="M92" i="7"/>
  <c r="L92" i="7"/>
  <c r="K92" i="7"/>
  <c r="J92" i="7"/>
  <c r="D92" i="7"/>
  <c r="E92" i="7" s="1"/>
  <c r="C92" i="7"/>
  <c r="M57" i="7"/>
  <c r="L57" i="7"/>
  <c r="K57" i="7"/>
  <c r="J57" i="7"/>
  <c r="D57" i="7"/>
  <c r="E57" i="7" s="1"/>
  <c r="C57" i="7"/>
  <c r="M17" i="7"/>
  <c r="L17" i="7"/>
  <c r="K17" i="7"/>
  <c r="J17" i="7"/>
  <c r="D17" i="7"/>
  <c r="E17" i="7" s="1"/>
  <c r="C17" i="7"/>
  <c r="M36" i="7"/>
  <c r="L36" i="7"/>
  <c r="K36" i="7"/>
  <c r="J36" i="7"/>
  <c r="D36" i="7"/>
  <c r="E36" i="7" s="1"/>
  <c r="C36" i="7"/>
  <c r="M18" i="7"/>
  <c r="L18" i="7"/>
  <c r="K18" i="7"/>
  <c r="J18" i="7"/>
  <c r="D18" i="7"/>
  <c r="E18" i="7" s="1"/>
  <c r="C18" i="7"/>
  <c r="M33" i="7"/>
  <c r="L33" i="7"/>
  <c r="K33" i="7"/>
  <c r="J33" i="7"/>
  <c r="D33" i="7"/>
  <c r="E33" i="7" s="1"/>
  <c r="C33" i="7"/>
  <c r="M14" i="7"/>
  <c r="L14" i="7"/>
  <c r="K14" i="7"/>
  <c r="J14" i="7"/>
  <c r="D14" i="7"/>
  <c r="E14" i="7" s="1"/>
  <c r="C14" i="7"/>
  <c r="M12" i="7"/>
  <c r="L12" i="7"/>
  <c r="K12" i="7"/>
  <c r="J12" i="7"/>
  <c r="D12" i="7"/>
  <c r="E12" i="7" s="1"/>
  <c r="C12" i="7"/>
  <c r="M16" i="7"/>
  <c r="L16" i="7"/>
  <c r="K16" i="7"/>
  <c r="J16" i="7"/>
  <c r="D16" i="7"/>
  <c r="E16" i="7" s="1"/>
  <c r="C16" i="7"/>
  <c r="I65" i="7"/>
  <c r="I72" i="7" s="1"/>
  <c r="H65" i="7"/>
  <c r="H72" i="7" s="1"/>
  <c r="F65" i="7"/>
  <c r="C65" i="7"/>
  <c r="M54" i="7"/>
  <c r="L54" i="7"/>
  <c r="K54" i="7"/>
  <c r="J54" i="7"/>
  <c r="D54" i="7"/>
  <c r="E54" i="7" s="1"/>
  <c r="C54" i="7"/>
  <c r="M3" i="7"/>
  <c r="L3" i="7"/>
  <c r="K3" i="7"/>
  <c r="J3" i="7"/>
  <c r="D3" i="7"/>
  <c r="E3" i="7" s="1"/>
  <c r="C3" i="7"/>
  <c r="M4" i="7"/>
  <c r="L4" i="7"/>
  <c r="K4" i="7"/>
  <c r="J4" i="7"/>
  <c r="D4" i="7"/>
  <c r="E4" i="7" s="1"/>
  <c r="C4" i="7"/>
  <c r="I11" i="7"/>
  <c r="H11" i="7"/>
  <c r="G11" i="7"/>
  <c r="C11" i="7"/>
  <c r="M90" i="7"/>
  <c r="L90" i="7"/>
  <c r="K90" i="7"/>
  <c r="J90" i="7"/>
  <c r="D90" i="7"/>
  <c r="E90" i="7" s="1"/>
  <c r="C90" i="7"/>
  <c r="M53" i="7"/>
  <c r="L53" i="7"/>
  <c r="K53" i="7"/>
  <c r="J53" i="7"/>
  <c r="D53" i="7"/>
  <c r="E53" i="7" s="1"/>
  <c r="C53" i="7"/>
  <c r="M83" i="7"/>
  <c r="L83" i="7"/>
  <c r="K83" i="7"/>
  <c r="D83" i="7"/>
  <c r="B83" i="7"/>
  <c r="C83" i="7" s="1"/>
  <c r="M32" i="7"/>
  <c r="L32" i="7"/>
  <c r="K32" i="7"/>
  <c r="J32" i="7"/>
  <c r="D32" i="7"/>
  <c r="E32" i="7" s="1"/>
  <c r="C32" i="7"/>
  <c r="K5" i="2" l="1"/>
  <c r="C30" i="2"/>
  <c r="E63" i="2"/>
  <c r="J63" i="2" s="1"/>
  <c r="E41" i="2"/>
  <c r="J41" i="2" s="1"/>
  <c r="N9" i="2"/>
  <c r="K63" i="2"/>
  <c r="N16" i="2"/>
  <c r="K41" i="2"/>
  <c r="M63" i="2"/>
  <c r="C5" i="2"/>
  <c r="M41" i="2"/>
  <c r="E9" i="2"/>
  <c r="J9" i="2" s="1"/>
  <c r="J5" i="2"/>
  <c r="K9" i="2"/>
  <c r="N63" i="2"/>
  <c r="L16" i="2"/>
  <c r="C41" i="2"/>
  <c r="L9" i="2"/>
  <c r="C63" i="2"/>
  <c r="M16" i="2"/>
  <c r="H30" i="2"/>
  <c r="M30" i="2" s="1"/>
  <c r="N41" i="2"/>
  <c r="M9" i="2"/>
  <c r="L63" i="2"/>
  <c r="E16" i="2"/>
  <c r="J16" i="2" s="1"/>
  <c r="L41" i="2"/>
  <c r="K16" i="2"/>
  <c r="M11" i="7"/>
  <c r="M65" i="7"/>
  <c r="F72" i="7"/>
  <c r="J72" i="7" s="1"/>
  <c r="L10" i="7"/>
  <c r="D43" i="7"/>
  <c r="E43" i="7" s="1"/>
  <c r="L65" i="7"/>
  <c r="J43" i="7"/>
  <c r="L11" i="7"/>
  <c r="D10" i="7"/>
  <c r="E10" i="7" s="1"/>
  <c r="M43" i="7"/>
  <c r="D11" i="7"/>
  <c r="E11" i="7" s="1"/>
  <c r="J65" i="7"/>
  <c r="M10" i="7"/>
  <c r="K43" i="7"/>
  <c r="E83" i="7"/>
  <c r="J11" i="7"/>
  <c r="K65" i="7"/>
  <c r="J10" i="7"/>
  <c r="L43" i="7"/>
  <c r="J83" i="7"/>
  <c r="K11" i="7"/>
  <c r="K10" i="7"/>
  <c r="D65" i="7"/>
  <c r="E65" i="7" s="1"/>
  <c r="N30" i="2" l="1"/>
  <c r="K30" i="2"/>
  <c r="L30" i="2"/>
  <c r="E30" i="2"/>
  <c r="J30" i="2" s="1"/>
  <c r="M72" i="7"/>
  <c r="L72" i="7"/>
  <c r="K72" i="7"/>
  <c r="D72" i="7"/>
  <c r="E72" i="7" s="1"/>
  <c r="O15" i="4" l="1"/>
  <c r="N15" i="4"/>
  <c r="M15" i="4"/>
  <c r="L15" i="4"/>
  <c r="F15" i="4"/>
  <c r="K15" i="4" s="1"/>
  <c r="E15" i="4"/>
  <c r="O31" i="4"/>
  <c r="N31" i="4"/>
  <c r="M31" i="4"/>
  <c r="L31" i="4"/>
  <c r="F31" i="4"/>
  <c r="K31" i="4" s="1"/>
  <c r="E31" i="4"/>
  <c r="O9" i="4"/>
  <c r="N9" i="4"/>
  <c r="M9" i="4"/>
  <c r="L9" i="4"/>
  <c r="F9" i="4"/>
  <c r="K9" i="4" s="1"/>
  <c r="E9" i="4"/>
  <c r="O6" i="4"/>
  <c r="M6" i="4"/>
  <c r="F6" i="4"/>
  <c r="K6" i="4" s="1"/>
  <c r="E6" i="4"/>
  <c r="O27" i="4"/>
  <c r="M27" i="4"/>
  <c r="F27" i="4"/>
  <c r="K27" i="4" s="1"/>
  <c r="E27" i="4"/>
  <c r="O25" i="4"/>
  <c r="M25" i="4"/>
  <c r="F25" i="4"/>
  <c r="K25" i="4" s="1"/>
  <c r="E25" i="4"/>
  <c r="N25" i="4" l="1"/>
  <c r="N27" i="4"/>
  <c r="N6" i="4"/>
  <c r="L25" i="4"/>
  <c r="L27" i="4"/>
  <c r="L6" i="4"/>
  <c r="F46" i="4"/>
  <c r="K46" i="4" s="1"/>
  <c r="L46" i="4"/>
  <c r="M46" i="4"/>
  <c r="N46" i="4"/>
  <c r="O46" i="4"/>
  <c r="E46" i="4"/>
  <c r="E45" i="4"/>
  <c r="F45" i="4"/>
  <c r="K45" i="4" s="1"/>
  <c r="L45" i="4"/>
  <c r="M45" i="4"/>
  <c r="N45" i="4"/>
  <c r="O45" i="4"/>
  <c r="O42" i="4"/>
  <c r="N42" i="4"/>
  <c r="M42" i="4"/>
  <c r="F42" i="4"/>
  <c r="K42" i="4" s="1"/>
  <c r="E42" i="4"/>
  <c r="L44" i="4"/>
  <c r="J41" i="4"/>
  <c r="I41" i="4"/>
  <c r="H41" i="4"/>
  <c r="G41" i="4"/>
  <c r="E41" i="4"/>
  <c r="O44" i="4"/>
  <c r="N44" i="4"/>
  <c r="M44" i="4"/>
  <c r="F44" i="4"/>
  <c r="M43" i="4"/>
  <c r="O43" i="4"/>
  <c r="N43" i="4"/>
  <c r="L43" i="4"/>
  <c r="E43" i="4"/>
  <c r="J39" i="4"/>
  <c r="I39" i="4"/>
  <c r="H39" i="4"/>
  <c r="G39" i="4"/>
  <c r="E39" i="4"/>
  <c r="J22" i="4"/>
  <c r="I22" i="4"/>
  <c r="H22" i="4"/>
  <c r="G22" i="4"/>
  <c r="E22" i="4"/>
  <c r="E24" i="4"/>
  <c r="J24" i="4"/>
  <c r="I24" i="4"/>
  <c r="H24" i="4"/>
  <c r="G24" i="4"/>
  <c r="J14" i="4"/>
  <c r="I14" i="4"/>
  <c r="H14" i="4"/>
  <c r="G14" i="4"/>
  <c r="E14" i="4"/>
  <c r="O38" i="4"/>
  <c r="M38" i="4"/>
  <c r="N38" i="4"/>
  <c r="F38" i="4"/>
  <c r="K38" i="4" s="1"/>
  <c r="G40" i="4"/>
  <c r="F40" i="4" s="1"/>
  <c r="E40" i="4"/>
  <c r="M40" i="4" l="1"/>
  <c r="O41" i="4"/>
  <c r="O39" i="4"/>
  <c r="F22" i="4"/>
  <c r="M14" i="4"/>
  <c r="N24" i="4"/>
  <c r="N39" i="4"/>
  <c r="K40" i="4"/>
  <c r="N14" i="4"/>
  <c r="L39" i="4"/>
  <c r="L41" i="4"/>
  <c r="M39" i="4"/>
  <c r="F14" i="4"/>
  <c r="K14" i="4" s="1"/>
  <c r="F39" i="4"/>
  <c r="K39" i="4" s="1"/>
  <c r="N41" i="4"/>
  <c r="F41" i="4"/>
  <c r="K41" i="4" s="1"/>
  <c r="L42" i="4"/>
  <c r="E44" i="4"/>
  <c r="K44" i="4"/>
  <c r="M41" i="4"/>
  <c r="F43" i="4"/>
  <c r="K43" i="4" s="1"/>
  <c r="N22" i="4"/>
  <c r="O22" i="4"/>
  <c r="K22" i="4"/>
  <c r="L22" i="4"/>
  <c r="M22" i="4"/>
  <c r="M24" i="4"/>
  <c r="O24" i="4"/>
  <c r="F24" i="4"/>
  <c r="K24" i="4" s="1"/>
  <c r="O14" i="4"/>
  <c r="L14" i="4"/>
  <c r="L24" i="4"/>
  <c r="E38" i="4"/>
  <c r="L38" i="4"/>
  <c r="N40" i="4"/>
  <c r="O40" i="4"/>
  <c r="L40" i="4"/>
  <c r="O11" i="3" l="1"/>
  <c r="N11" i="3"/>
  <c r="M11" i="3"/>
  <c r="L11" i="3"/>
  <c r="F11" i="3"/>
  <c r="K11" i="3" s="1"/>
  <c r="E11" i="3"/>
  <c r="D11" i="3"/>
  <c r="O13" i="3"/>
  <c r="N13" i="3"/>
  <c r="M13" i="3"/>
  <c r="L13" i="3"/>
  <c r="F13" i="3"/>
  <c r="K13" i="3" s="1"/>
  <c r="E13" i="3"/>
  <c r="D13" i="3"/>
  <c r="F34" i="3" l="1"/>
  <c r="F32" i="3"/>
  <c r="F29" i="3"/>
  <c r="F33" i="3"/>
  <c r="F26" i="3"/>
  <c r="F22" i="3"/>
  <c r="F28" i="3"/>
  <c r="F31" i="3"/>
  <c r="F27" i="3"/>
  <c r="F25" i="3"/>
  <c r="F30" i="3"/>
  <c r="F23" i="3"/>
  <c r="F24" i="3"/>
  <c r="F21" i="3"/>
  <c r="F19" i="3"/>
  <c r="F20" i="3"/>
  <c r="F18" i="3"/>
  <c r="F16" i="3"/>
  <c r="F15" i="3"/>
  <c r="F17" i="3"/>
  <c r="F12" i="3"/>
  <c r="F8" i="3"/>
  <c r="F9" i="3"/>
  <c r="F5" i="3"/>
  <c r="F4" i="3"/>
  <c r="F33" i="4"/>
  <c r="F32" i="4"/>
  <c r="F30" i="4"/>
  <c r="F26" i="4"/>
  <c r="F20" i="4"/>
  <c r="F29" i="4"/>
  <c r="F16" i="4"/>
  <c r="F18" i="4"/>
  <c r="F19" i="4"/>
  <c r="F11" i="4"/>
  <c r="F8" i="4"/>
  <c r="O33" i="4" l="1"/>
  <c r="N33" i="4"/>
  <c r="M33" i="4"/>
  <c r="O32" i="4"/>
  <c r="N32" i="4"/>
  <c r="M32" i="4"/>
  <c r="O34" i="4"/>
  <c r="N34" i="4"/>
  <c r="M34" i="4"/>
  <c r="O30" i="4"/>
  <c r="N30" i="4"/>
  <c r="M30" i="4"/>
  <c r="O26" i="4"/>
  <c r="N26" i="4"/>
  <c r="M26" i="4"/>
  <c r="O20" i="4"/>
  <c r="N20" i="4"/>
  <c r="M20" i="4"/>
  <c r="O29" i="4"/>
  <c r="N29" i="4"/>
  <c r="M29" i="4"/>
  <c r="O16" i="4"/>
  <c r="N16" i="4"/>
  <c r="M16" i="4"/>
  <c r="O18" i="4"/>
  <c r="N18" i="4"/>
  <c r="M18" i="4"/>
  <c r="O19" i="4"/>
  <c r="N19" i="4"/>
  <c r="M19" i="4"/>
  <c r="O11" i="4"/>
  <c r="N11" i="4"/>
  <c r="M11" i="4"/>
  <c r="O8" i="4"/>
  <c r="N8" i="4"/>
  <c r="M8" i="4"/>
  <c r="O34" i="3"/>
  <c r="N34" i="3"/>
  <c r="M34" i="3"/>
  <c r="O32" i="3"/>
  <c r="N32" i="3"/>
  <c r="M32" i="3"/>
  <c r="O29" i="3"/>
  <c r="N29" i="3"/>
  <c r="M29" i="3"/>
  <c r="O33" i="3"/>
  <c r="N33" i="3"/>
  <c r="M33" i="3"/>
  <c r="O26" i="3"/>
  <c r="N26" i="3"/>
  <c r="M26" i="3"/>
  <c r="O22" i="3"/>
  <c r="N22" i="3"/>
  <c r="M22" i="3"/>
  <c r="O28" i="3"/>
  <c r="N28" i="3"/>
  <c r="M28" i="3"/>
  <c r="O31" i="3"/>
  <c r="N31" i="3"/>
  <c r="M31" i="3"/>
  <c r="O27" i="3"/>
  <c r="N27" i="3"/>
  <c r="M27" i="3"/>
  <c r="O25" i="3"/>
  <c r="N25" i="3"/>
  <c r="M25" i="3"/>
  <c r="O30" i="3"/>
  <c r="N30" i="3"/>
  <c r="M30" i="3"/>
  <c r="O23" i="3"/>
  <c r="N23" i="3"/>
  <c r="M23" i="3"/>
  <c r="O24" i="3"/>
  <c r="N24" i="3"/>
  <c r="M24" i="3"/>
  <c r="O21" i="3"/>
  <c r="N21" i="3"/>
  <c r="M21" i="3"/>
  <c r="O19" i="3"/>
  <c r="N19" i="3"/>
  <c r="M19" i="3"/>
  <c r="O20" i="3"/>
  <c r="N20" i="3"/>
  <c r="M20" i="3"/>
  <c r="O18" i="3"/>
  <c r="N18" i="3"/>
  <c r="M18" i="3"/>
  <c r="O16" i="3"/>
  <c r="N16" i="3"/>
  <c r="M16" i="3"/>
  <c r="O15" i="3"/>
  <c r="N15" i="3"/>
  <c r="M15" i="3"/>
  <c r="O17" i="3"/>
  <c r="N17" i="3"/>
  <c r="M17" i="3"/>
  <c r="O12" i="3"/>
  <c r="N12" i="3"/>
  <c r="M12" i="3"/>
  <c r="O8" i="3"/>
  <c r="N8" i="3"/>
  <c r="M8" i="3"/>
  <c r="O9" i="3"/>
  <c r="N9" i="3"/>
  <c r="M9" i="3"/>
  <c r="O5" i="3"/>
  <c r="N5" i="3"/>
  <c r="M5" i="3"/>
  <c r="O4" i="3"/>
  <c r="N4" i="3"/>
  <c r="M4" i="3"/>
  <c r="J17" i="4" l="1"/>
  <c r="I17" i="4"/>
  <c r="H17" i="4"/>
  <c r="G17" i="4"/>
  <c r="J12" i="4"/>
  <c r="I12" i="4"/>
  <c r="H12" i="4"/>
  <c r="G12" i="4"/>
  <c r="J13" i="4"/>
  <c r="I13" i="4"/>
  <c r="H13" i="4"/>
  <c r="G13" i="4"/>
  <c r="L34" i="3"/>
  <c r="K34" i="3"/>
  <c r="E34" i="3"/>
  <c r="D34" i="3"/>
  <c r="L32" i="3"/>
  <c r="K32" i="3"/>
  <c r="E32" i="3"/>
  <c r="D32" i="3"/>
  <c r="L29" i="3"/>
  <c r="K29" i="3"/>
  <c r="E29" i="3"/>
  <c r="D29" i="3"/>
  <c r="L26" i="3"/>
  <c r="K26" i="3"/>
  <c r="E26" i="3"/>
  <c r="D26" i="3"/>
  <c r="L22" i="3"/>
  <c r="K22" i="3"/>
  <c r="E22" i="3"/>
  <c r="D22" i="3"/>
  <c r="L33" i="3"/>
  <c r="K33" i="3"/>
  <c r="E33" i="3"/>
  <c r="D33" i="3"/>
  <c r="L28" i="3"/>
  <c r="K28" i="3"/>
  <c r="E28" i="3"/>
  <c r="D28" i="3"/>
  <c r="L27" i="3"/>
  <c r="K27" i="3"/>
  <c r="E27" i="3"/>
  <c r="D27" i="3"/>
  <c r="L19" i="3"/>
  <c r="K19" i="3"/>
  <c r="E19" i="3"/>
  <c r="D19" i="3"/>
  <c r="L25" i="3"/>
  <c r="K25" i="3"/>
  <c r="E25" i="3"/>
  <c r="D25" i="3"/>
  <c r="L30" i="3"/>
  <c r="K30" i="3"/>
  <c r="E30" i="3"/>
  <c r="D30" i="3"/>
  <c r="L23" i="3"/>
  <c r="K23" i="3"/>
  <c r="E23" i="3"/>
  <c r="D23" i="3"/>
  <c r="L24" i="3"/>
  <c r="K24" i="3"/>
  <c r="E24" i="3"/>
  <c r="D24" i="3"/>
  <c r="L21" i="3"/>
  <c r="K21" i="3"/>
  <c r="E21" i="3"/>
  <c r="D21" i="3"/>
  <c r="L18" i="3"/>
  <c r="K18" i="3"/>
  <c r="E18" i="3"/>
  <c r="D18" i="3"/>
  <c r="L20" i="3"/>
  <c r="K20" i="3"/>
  <c r="E20" i="3"/>
  <c r="D20" i="3"/>
  <c r="L31" i="3"/>
  <c r="K31" i="3"/>
  <c r="E31" i="3"/>
  <c r="D31" i="3"/>
  <c r="L16" i="3"/>
  <c r="K16" i="3"/>
  <c r="E16" i="3"/>
  <c r="D16" i="3"/>
  <c r="L15" i="3"/>
  <c r="K15" i="3"/>
  <c r="E15" i="3"/>
  <c r="D15" i="3"/>
  <c r="L8" i="3"/>
  <c r="K8" i="3"/>
  <c r="E8" i="3"/>
  <c r="D8" i="3"/>
  <c r="L17" i="3"/>
  <c r="K17" i="3"/>
  <c r="E17" i="3"/>
  <c r="D17" i="3"/>
  <c r="L12" i="3"/>
  <c r="K12" i="3"/>
  <c r="E12" i="3"/>
  <c r="D12" i="3"/>
  <c r="L9" i="3"/>
  <c r="K9" i="3"/>
  <c r="E9" i="3"/>
  <c r="D9" i="3"/>
  <c r="L5" i="3"/>
  <c r="K5" i="3"/>
  <c r="E5" i="3"/>
  <c r="D5" i="3"/>
  <c r="L4" i="3"/>
  <c r="K4" i="3"/>
  <c r="E4" i="3"/>
  <c r="D4" i="3"/>
  <c r="J35" i="4" l="1"/>
  <c r="G35" i="4"/>
  <c r="N12" i="4"/>
  <c r="I35" i="4"/>
  <c r="H35" i="4"/>
  <c r="O12" i="4"/>
  <c r="F17" i="4"/>
  <c r="M17" i="4"/>
  <c r="O13" i="4"/>
  <c r="N23" i="4"/>
  <c r="F12" i="4"/>
  <c r="M12" i="4"/>
  <c r="N17" i="4"/>
  <c r="F23" i="4"/>
  <c r="M23" i="4"/>
  <c r="N13" i="4"/>
  <c r="F13" i="4"/>
  <c r="M13" i="4"/>
  <c r="O23" i="4"/>
  <c r="O17" i="4"/>
  <c r="M35" i="4" l="1"/>
  <c r="O35" i="4"/>
  <c r="N35" i="4"/>
  <c r="F35" i="4"/>
  <c r="L35" i="4" l="1"/>
  <c r="D35" i="4"/>
  <c r="K32" i="4"/>
  <c r="E32" i="4"/>
  <c r="D32" i="4"/>
  <c r="L32" i="4"/>
  <c r="E34" i="4"/>
  <c r="L34" i="4"/>
  <c r="D34" i="4"/>
  <c r="K34" i="4"/>
  <c r="K11" i="4"/>
  <c r="E11" i="4"/>
  <c r="D11" i="4"/>
  <c r="L11" i="4"/>
  <c r="K35" i="4"/>
  <c r="L19" i="4"/>
  <c r="E19" i="4"/>
  <c r="D19" i="4"/>
  <c r="K19" i="4"/>
  <c r="K23" i="4"/>
  <c r="L23" i="4"/>
  <c r="D23" i="4"/>
  <c r="E23" i="4"/>
  <c r="L12" i="4"/>
  <c r="E12" i="4"/>
  <c r="D12" i="4"/>
  <c r="K12" i="4"/>
  <c r="L16" i="4"/>
  <c r="K16" i="4"/>
  <c r="D16" i="4"/>
  <c r="E16" i="4"/>
  <c r="E20" i="4"/>
  <c r="K20" i="4"/>
  <c r="D20" i="4"/>
  <c r="L20" i="4"/>
  <c r="E29" i="4"/>
  <c r="K29" i="4"/>
  <c r="D29" i="4"/>
  <c r="L29" i="4"/>
  <c r="E8" i="4"/>
  <c r="L8" i="4"/>
  <c r="D8" i="4"/>
  <c r="K8" i="4"/>
  <c r="K13" i="4"/>
  <c r="L13" i="4"/>
  <c r="D13" i="4"/>
  <c r="E13" i="4"/>
  <c r="K17" i="4"/>
  <c r="L17" i="4"/>
  <c r="D17" i="4"/>
  <c r="E17" i="4"/>
  <c r="K18" i="4"/>
  <c r="L18" i="4"/>
  <c r="D18" i="4"/>
  <c r="E18" i="4"/>
  <c r="E26" i="4"/>
  <c r="L26" i="4"/>
  <c r="D26" i="4"/>
  <c r="K26" i="4"/>
  <c r="E30" i="4"/>
  <c r="L30" i="4"/>
  <c r="D30" i="4"/>
  <c r="K30" i="4"/>
  <c r="K33" i="4"/>
  <c r="L33" i="4"/>
  <c r="D33" i="4"/>
  <c r="E33" i="4"/>
</calcChain>
</file>

<file path=xl/sharedStrings.xml><?xml version="1.0" encoding="utf-8"?>
<sst xmlns="http://schemas.openxmlformats.org/spreadsheetml/2006/main" count="398" uniqueCount="228">
  <si>
    <t>Calories</t>
  </si>
  <si>
    <t>Carbs (gms)</t>
  </si>
  <si>
    <t>Fiber (gms)</t>
  </si>
  <si>
    <t>Fat (gms)</t>
  </si>
  <si>
    <t>Protein (gms)</t>
  </si>
  <si>
    <t>Cals/Gm</t>
  </si>
  <si>
    <t>Flavored olive oil (2T)</t>
  </si>
  <si>
    <t>Mixed nuts (2 oz)</t>
  </si>
  <si>
    <t>Old Wisconsin sausage (6 pcs)</t>
  </si>
  <si>
    <t>Choc covered Almonds (9)</t>
  </si>
  <si>
    <t>Flash-fried vegie chips 1 oz</t>
  </si>
  <si>
    <t>Salami (1 slice)</t>
  </si>
  <si>
    <t>Port wine cheese log (2T)</t>
  </si>
  <si>
    <t>Brand</t>
  </si>
  <si>
    <t>Type</t>
  </si>
  <si>
    <t>Weight (gms)</t>
  </si>
  <si>
    <t>Weight (oz)</t>
  </si>
  <si>
    <t>Weight (lbs)</t>
  </si>
  <si>
    <t>PowerBar</t>
  </si>
  <si>
    <t>ProteinPlus Chocolate Crisp</t>
  </si>
  <si>
    <t>Met RX</t>
  </si>
  <si>
    <t>ProteinPlus Chocolate Fudge Deluxe</t>
  </si>
  <si>
    <t>Cliff Bar</t>
  </si>
  <si>
    <t>Blueberry Crisp</t>
  </si>
  <si>
    <t>Luna</t>
  </si>
  <si>
    <t>Vanilla almond</t>
  </si>
  <si>
    <t>ProteinPlus Vanilla Yogurt</t>
  </si>
  <si>
    <t>ProteinPlus Chocolate Chocolate Chunk</t>
  </si>
  <si>
    <t>Big 100 Chocolate Chip Cookie Dough</t>
  </si>
  <si>
    <t>Lemon Zest</t>
  </si>
  <si>
    <t>Black Cherry Almond</t>
  </si>
  <si>
    <t>Cliff</t>
  </si>
  <si>
    <t>Builders Chocolate Mint</t>
  </si>
  <si>
    <t>ProteinPlus Chocolate Peanut Butter</t>
  </si>
  <si>
    <t>White chocolate macadamia</t>
  </si>
  <si>
    <t>Recovery Peanut Butter Caramel Crisp</t>
  </si>
  <si>
    <t>Chocolate peppermint stick</t>
  </si>
  <si>
    <t>Caramel nut brownie</t>
  </si>
  <si>
    <t>Big 100 Colossal Super Cookie Crunch</t>
  </si>
  <si>
    <t>Harvest Energy Double chocolate chunk</t>
  </si>
  <si>
    <t>Performance Energy Milk Chocolate brownie</t>
  </si>
  <si>
    <t>Ramen (1 block)</t>
  </si>
  <si>
    <t>Raisins (mini-box)</t>
  </si>
  <si>
    <t>Dried blueberries (1/4C)</t>
  </si>
  <si>
    <t>Dates (pitted, 1/4C)</t>
  </si>
  <si>
    <t>Apple chips (1 oz)</t>
  </si>
  <si>
    <t>Mountain House</t>
  </si>
  <si>
    <t>Beef stroganoff w/noodles (2.5C)</t>
  </si>
  <si>
    <t>Chicken teriyaki w/rice (2.5C)</t>
  </si>
  <si>
    <t>Lasagna w/meat sauce (2.5C)</t>
  </si>
  <si>
    <t>Packit Gourmet</t>
  </si>
  <si>
    <t>Big'N Burrito (2 serving pack)</t>
  </si>
  <si>
    <t>Kick'N Chicken wrap (1 serving pack)</t>
  </si>
  <si>
    <t>Pasta Puttanesca (2 serving pack)</t>
  </si>
  <si>
    <t>AlpineAire</t>
  </si>
  <si>
    <t>Mountain chili (2 serving pack)</t>
  </si>
  <si>
    <t>Western tamale pie w/beef (2 serving pack)</t>
  </si>
  <si>
    <t>Beef stroganoff (2 serving pack)</t>
  </si>
  <si>
    <t>Almond chicken (2 serving pack)</t>
  </si>
  <si>
    <t>Bandito scramble (2 serving pack)</t>
  </si>
  <si>
    <t>Scrambled eggs w/ham &amp; peppers (2 serving pack)</t>
  </si>
  <si>
    <t>Diner Deluxe Scrambled eggs (2 serving pack)</t>
  </si>
  <si>
    <t>Creamy italian polenta (2 serving pack)</t>
  </si>
  <si>
    <t>Santa Fe Bean Co</t>
  </si>
  <si>
    <t>Southwestern refried beans (1 pack)</t>
  </si>
  <si>
    <t>Mtn House Scrambled eggs w/ham &amp; peppers (2 serving pack)</t>
  </si>
  <si>
    <t>PowerBar Triple Threat Energy Caramel Peanut Fusion</t>
  </si>
  <si>
    <t>Luna Bar White chocolate macadamia</t>
  </si>
  <si>
    <t>Cliff Bar Black Cherry Almond</t>
  </si>
  <si>
    <t>Peanut M&amp;Ms (15)</t>
  </si>
  <si>
    <t>Fruit/nut Trail mix (1/2C)</t>
  </si>
  <si>
    <t>Chocolate instant breakfast (1 packet)</t>
  </si>
  <si>
    <t>Quinoa (1/2C uncooked)</t>
  </si>
  <si>
    <t>Teriyaki beef jerky (1 oz)</t>
  </si>
  <si>
    <t>% Nutritive Weight*</t>
  </si>
  <si>
    <t>* Nutritive weight = weight in carbs, fats &amp; protein (not including fiber)</t>
  </si>
  <si>
    <t>Cheddar cheese powder (2T)</t>
  </si>
  <si>
    <t>Walnuts (1/4C)</t>
  </si>
  <si>
    <t>% of Nutritive Weight in:</t>
  </si>
  <si>
    <t>Carbs</t>
  </si>
  <si>
    <t>Fats</t>
  </si>
  <si>
    <t>Protein</t>
  </si>
  <si>
    <t>High Calorie Density Foods</t>
  </si>
  <si>
    <t>Lower Calorie Density Foods</t>
  </si>
  <si>
    <t>Almond butter (2T)</t>
  </si>
  <si>
    <t>Brazil nuts (1/4C)</t>
  </si>
  <si>
    <t>Dark chocolate walnuts (8)</t>
  </si>
  <si>
    <t>Squeeze margarine (1T)</t>
  </si>
  <si>
    <t>Vegie chips (1 oz)</t>
  </si>
  <si>
    <t>Parmesan cheese (1/4C)</t>
  </si>
  <si>
    <t>Naan bread (1 slice)</t>
  </si>
  <si>
    <t>Dehydrated black beans (1/4C dry)</t>
  </si>
  <si>
    <t>Dehydrated pinto beans (1/4C dry)</t>
  </si>
  <si>
    <t>Dried mixed vegies (1/3C)</t>
  </si>
  <si>
    <t>Sandwich thins (2 halves)</t>
  </si>
  <si>
    <t>Bacon (2 slices)</t>
  </si>
  <si>
    <t>Tang OJ powder (2T)</t>
  </si>
  <si>
    <t>Mojo Mountain Mix</t>
  </si>
  <si>
    <t>Belly Timber</t>
  </si>
  <si>
    <t>Pacific NW Blueberries</t>
  </si>
  <si>
    <t>Loucks</t>
  </si>
  <si>
    <t>ProBar</t>
  </si>
  <si>
    <t>Sweet &amp; Savory Cocoa Pistachio</t>
  </si>
  <si>
    <t>HammerBar</t>
  </si>
  <si>
    <t>Cashew Coconut Chocolate Chip</t>
  </si>
  <si>
    <t>Stoats</t>
  </si>
  <si>
    <t>Oat Bar White Chocolate Hazelnut</t>
  </si>
  <si>
    <t>Triple Threat Energy</t>
  </si>
  <si>
    <t>Total Weight (gms)</t>
  </si>
  <si>
    <t>Parmesan cheese shredded (1T)</t>
  </si>
  <si>
    <t>Meal and Energy Bars</t>
  </si>
  <si>
    <t>Cooked chicken breast (1/2C, dried)</t>
  </si>
  <si>
    <t>Cheddar goldfish</t>
  </si>
  <si>
    <t>Fritos</t>
  </si>
  <si>
    <t>Cheez-It crackers</t>
  </si>
  <si>
    <t>Oroweat english muffin 2 halves</t>
  </si>
  <si>
    <t>Cheese straws (9 straws)</t>
  </si>
  <si>
    <t>Quick Indicators of Calorie Density:</t>
  </si>
  <si>
    <t>*  Low water content (high % total wgt in carbs, fats &amp; protein)</t>
  </si>
  <si>
    <t>*  High % of grams and calories in fat</t>
  </si>
  <si>
    <t>*  Low % total wgt in fiber</t>
  </si>
  <si>
    <t>*  Lower % of weight in protein</t>
  </si>
  <si>
    <t>Sesame sticks (20 pcs)</t>
  </si>
  <si>
    <t>Nut-sesame mix (1.5 servings almonds, walnuts, brazil nuts, cashews, sesame sticks)</t>
  </si>
  <si>
    <t>Chunky peanut butter (2T)</t>
  </si>
  <si>
    <t>Ritz Crackerfuls</t>
  </si>
  <si>
    <t>Macadamia nuts (1 oz)</t>
  </si>
  <si>
    <t>Pecans (1 oz)</t>
  </si>
  <si>
    <t>Coconut</t>
  </si>
  <si>
    <t>Sunflower Seeds (1/6C)</t>
  </si>
  <si>
    <t>Instant maple-brown sugar oatmeal-packet dry</t>
  </si>
  <si>
    <t>Extra sharp cheddar , Pepper Jack cheese</t>
  </si>
  <si>
    <t>Gerber yogurt melts (1/4C)</t>
  </si>
  <si>
    <t>Fruit leather (1/4C)</t>
  </si>
  <si>
    <t>Hummus (4T)</t>
  </si>
  <si>
    <t>Dark Chocolate Sesame Snaps (2 packs)</t>
  </si>
  <si>
    <t>Bagel thins (2 halves)</t>
  </si>
  <si>
    <t>Instant whole-grain  rice (1/4C dry)</t>
  </si>
  <si>
    <t>Instant pudding - cookies &amp; crème (1/4 pkg)</t>
  </si>
  <si>
    <t>Instant cheesecake packet (1/4 pkg)</t>
  </si>
  <si>
    <t>Instant mashed potatoes (1/3C dry)</t>
  </si>
  <si>
    <t>Ground beef (1/4 C dried)</t>
  </si>
  <si>
    <t>Full-fat tortilla - Guerreros (1)</t>
  </si>
  <si>
    <t>Calorie Density (Cals/Gm)</t>
  </si>
  <si>
    <t>Mazamabar</t>
  </si>
  <si>
    <t>Chocolate banana</t>
  </si>
  <si>
    <t>Hazelnut mocha</t>
  </si>
  <si>
    <t>Frosted shredded wheat</t>
  </si>
  <si>
    <t>Whole Powdered milk (1/2C dry)</t>
  </si>
  <si>
    <t>Pumpkin flax granola w/ 1/4C whole milk powder</t>
  </si>
  <si>
    <t>Bear Naked fruit and nut granola w/1/4C whole milk powder</t>
  </si>
  <si>
    <t>Honey nut cheerios w/ 1/4C whole milk powder</t>
  </si>
  <si>
    <t>Raisin nut bran w/ 1/4C whole milk powder</t>
  </si>
  <si>
    <t>Instant cream of chicken soup mix</t>
  </si>
  <si>
    <t>Tuna or chicken in pouch</t>
  </si>
  <si>
    <t>Wheat thins multigrain - 15 crackers</t>
  </si>
  <si>
    <t>Rembrandt aged gouda cheese - 1 oz</t>
  </si>
  <si>
    <t>Pro-pac beef stew (2 serving pack)</t>
  </si>
  <si>
    <t>Average of top 5</t>
  </si>
  <si>
    <t>Oatmeal with seeds, coconut, dried blueberries</t>
  </si>
  <si>
    <t>gms</t>
  </si>
  <si>
    <t>oz</t>
  </si>
  <si>
    <t>lbs</t>
  </si>
  <si>
    <t>Serving</t>
  </si>
  <si>
    <t>Ready-Made Dehydrated Meals</t>
  </si>
  <si>
    <t>Gouda cheese (aged Rembrandt) - 2 oz</t>
  </si>
  <si>
    <t>Cheddar cheese (aged) - 2 oz</t>
  </si>
  <si>
    <t>Idahoan</t>
  </si>
  <si>
    <t>Roasted Garlic &amp; Parmesan Baby Red potatoes (1 pkg)</t>
  </si>
  <si>
    <t>Butter &amp; Herb Mashed Potatoes (1 pkg)</t>
  </si>
  <si>
    <t>Spaghetti with Meat Sauce (2 serving pack)</t>
  </si>
  <si>
    <t>Natural High</t>
  </si>
  <si>
    <t>Himalayan Lentils and Rice (2 serving pack)</t>
  </si>
  <si>
    <t>Honey Mustard Chicken (2 serving pack)</t>
  </si>
  <si>
    <t>Knorrs</t>
  </si>
  <si>
    <t>Pasta Sides - Alfredo Broccoli (2 serving pkg)</t>
  </si>
  <si>
    <t>Cajun Sides - Red Beans and Rice (2 serving pkg)</t>
  </si>
  <si>
    <t>Annie's</t>
  </si>
  <si>
    <t>Kraft</t>
  </si>
  <si>
    <t>Totally Natural Shells &amp; Real Aged Cheddar Mac &amp; Cheese (1 box)</t>
  </si>
  <si>
    <t>Mac and Cheese Deluxe Dinner (1/2 pkg)</t>
  </si>
  <si>
    <t>Rice a Roni</t>
  </si>
  <si>
    <t>Whole Grain Blend (2-serving pkg)</t>
  </si>
  <si>
    <t>Valley Fresh</t>
  </si>
  <si>
    <t>Cooked white meat chicken in a pouch (1/3 pouch)</t>
  </si>
  <si>
    <t>Chicken of the Sea</t>
  </si>
  <si>
    <t>Healthy Selections White Tuna in Water (1 pouch)</t>
  </si>
  <si>
    <t>Enertia Foods</t>
  </si>
  <si>
    <t>Mousilauke Goulash</t>
  </si>
  <si>
    <t>El Capitan 3-Bean Chili</t>
  </si>
  <si>
    <t>Backpackers Pantry</t>
  </si>
  <si>
    <t>Stroganoff with Beef, Noodles &amp; Wild Mushrooms</t>
  </si>
  <si>
    <t>Pad Thai (half of 2 person pkg)</t>
  </si>
  <si>
    <t>Denver Omelette (2-serving pack)</t>
  </si>
  <si>
    <t>Spicy Cheese Omelette (2 serving pack)</t>
  </si>
  <si>
    <t>Off the Shelf Backpack Foods</t>
  </si>
  <si>
    <t>Lentils (1/4 C dry)</t>
  </si>
  <si>
    <t>Almonds (1C)</t>
  </si>
  <si>
    <t>Avocado dip (2T)</t>
  </si>
  <si>
    <t>Banana chips (3 oz)</t>
  </si>
  <si>
    <t>Cashews (1C)</t>
  </si>
  <si>
    <t>Cooked chicken breast (1C chopped undried)</t>
  </si>
  <si>
    <t>Nutella chocolate hazelnut spread (1T)</t>
  </si>
  <si>
    <t>Pinto beans (cooked, dehydrated)</t>
  </si>
  <si>
    <t>Mtn House Scrambled eggs w/ham &amp; peppers (2 svg pack)</t>
  </si>
  <si>
    <t>Outdoor Herbivore</t>
  </si>
  <si>
    <t>Naked freckle burrito (1 svg pack)</t>
  </si>
  <si>
    <t>Kind</t>
  </si>
  <si>
    <t>Almond Walnut Macadamia +Protein</t>
  </si>
  <si>
    <t>Snickers bar (1T)</t>
  </si>
  <si>
    <t>Heath Bar (king size)</t>
  </si>
  <si>
    <t>Peak Fuel</t>
  </si>
  <si>
    <t>Chicken coconut curry (2 serving pack)</t>
  </si>
  <si>
    <t>Butternut Dal Bhat (2 serving pack)</t>
  </si>
  <si>
    <t>Trailtopia</t>
  </si>
  <si>
    <t>Egg Scramble</t>
  </si>
  <si>
    <t>Beef Stroganoff with Noodles (Adventure Meals)</t>
  </si>
  <si>
    <t xml:space="preserve">Many Beans Salad </t>
  </si>
  <si>
    <t>Peanut Butter Chocolate Chip</t>
  </si>
  <si>
    <t>Superfood Slam</t>
  </si>
  <si>
    <t>Zing</t>
  </si>
  <si>
    <t>Dark Chocolate Cherry Almond</t>
  </si>
  <si>
    <t>Trailtopia Egg Scramble (2 serving pack)</t>
  </si>
  <si>
    <t>Peak Fuel Chicken Coconut Curry (2 serving pack)</t>
  </si>
  <si>
    <t>ProBar Peanut Butter Chocolate Chip</t>
  </si>
  <si>
    <t>Primal Island Toasted Coconut Granola</t>
  </si>
  <si>
    <t>Landjaeger uncured sausage (1 stick)</t>
  </si>
  <si>
    <t>Tuna or chicken in pouch (water pack)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</si>
</sst>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39" xfId="0" applyFont="1" applyFill="1" applyBorder="1"/>
    <xf numFmtId="0" fontId="0" fillId="0" borderId="0" xfId="0" applyFill="1"/>
    <xf numFmtId="1" fontId="3" fillId="0" borderId="7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31" xfId="0" applyNumberFormat="1" applyFont="1" applyFill="1" applyBorder="1" applyAlignment="1" applyProtection="1">
      <alignment horizontal="center"/>
      <protection locked="0"/>
    </xf>
    <xf numFmtId="1" fontId="3" fillId="0" borderId="47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3" fillId="0" borderId="31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 applyProtection="1">
      <alignment horizontal="center"/>
      <protection locked="0"/>
    </xf>
    <xf numFmtId="9" fontId="3" fillId="0" borderId="38" xfId="1" applyFont="1" applyFill="1" applyBorder="1" applyAlignment="1" applyProtection="1">
      <alignment horizontal="center"/>
      <protection locked="0"/>
    </xf>
    <xf numFmtId="9" fontId="3" fillId="0" borderId="8" xfId="1" applyFont="1" applyFill="1" applyBorder="1" applyProtection="1">
      <protection locked="0"/>
    </xf>
    <xf numFmtId="9" fontId="3" fillId="0" borderId="9" xfId="1" applyFont="1" applyFill="1" applyBorder="1" applyProtection="1">
      <protection locked="0"/>
    </xf>
    <xf numFmtId="9" fontId="3" fillId="0" borderId="10" xfId="1" applyFont="1" applyFill="1" applyBorder="1" applyProtection="1">
      <protection locked="0"/>
    </xf>
    <xf numFmtId="0" fontId="3" fillId="0" borderId="18" xfId="0" applyFont="1" applyFill="1" applyBorder="1"/>
    <xf numFmtId="1" fontId="3" fillId="0" borderId="1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43" xfId="0" applyNumberFormat="1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1" fontId="3" fillId="0" borderId="17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 applyProtection="1">
      <alignment horizontal="center"/>
      <protection locked="0"/>
    </xf>
    <xf numFmtId="9" fontId="3" fillId="0" borderId="18" xfId="1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Protection="1">
      <protection locked="0"/>
    </xf>
    <xf numFmtId="9" fontId="3" fillId="0" borderId="5" xfId="1" applyFont="1" applyFill="1" applyBorder="1" applyProtection="1">
      <protection locked="0"/>
    </xf>
    <xf numFmtId="9" fontId="3" fillId="0" borderId="13" xfId="1" applyFont="1" applyFill="1" applyBorder="1" applyProtection="1">
      <protection locked="0"/>
    </xf>
    <xf numFmtId="0" fontId="3" fillId="0" borderId="11" xfId="0" applyFont="1" applyFill="1" applyBorder="1"/>
    <xf numFmtId="1" fontId="3" fillId="0" borderId="4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wrapText="1"/>
    </xf>
    <xf numFmtId="0" fontId="3" fillId="0" borderId="36" xfId="0" applyFont="1" applyFill="1" applyBorder="1"/>
    <xf numFmtId="1" fontId="3" fillId="0" borderId="1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32" xfId="0" applyNumberFormat="1" applyFont="1" applyFill="1" applyBorder="1" applyAlignment="1" applyProtection="1">
      <alignment horizontal="center"/>
      <protection locked="0"/>
    </xf>
    <xf numFmtId="1" fontId="3" fillId="0" borderId="44" xfId="0" applyNumberFormat="1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wrapText="1"/>
    </xf>
    <xf numFmtId="1" fontId="3" fillId="0" borderId="32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 applyProtection="1">
      <alignment horizontal="center"/>
      <protection locked="0"/>
    </xf>
    <xf numFmtId="9" fontId="3" fillId="0" borderId="36" xfId="1" applyFont="1" applyFill="1" applyBorder="1" applyAlignment="1" applyProtection="1">
      <alignment horizontal="center"/>
      <protection locked="0"/>
    </xf>
    <xf numFmtId="9" fontId="3" fillId="0" borderId="15" xfId="1" applyFont="1" applyFill="1" applyBorder="1" applyProtection="1">
      <protection locked="0"/>
    </xf>
    <xf numFmtId="9" fontId="3" fillId="0" borderId="6" xfId="1" applyFont="1" applyFill="1" applyBorder="1" applyProtection="1">
      <protection locked="0"/>
    </xf>
    <xf numFmtId="9" fontId="3" fillId="0" borderId="16" xfId="1" applyFont="1" applyFill="1" applyBorder="1" applyProtection="1">
      <protection locked="0"/>
    </xf>
    <xf numFmtId="0" fontId="3" fillId="0" borderId="40" xfId="0" applyFont="1" applyFill="1" applyBorder="1"/>
    <xf numFmtId="1" fontId="3" fillId="0" borderId="28" xfId="0" applyNumberFormat="1" applyFont="1" applyFill="1" applyBorder="1" applyAlignment="1">
      <alignment horizontal="center"/>
    </xf>
    <xf numFmtId="164" fontId="3" fillId="0" borderId="30" xfId="0" applyNumberFormat="1" applyFont="1" applyFill="1" applyBorder="1" applyAlignment="1" applyProtection="1">
      <alignment horizontal="center"/>
      <protection locked="0"/>
    </xf>
    <xf numFmtId="164" fontId="3" fillId="0" borderId="40" xfId="0" applyNumberFormat="1" applyFont="1" applyFill="1" applyBorder="1" applyAlignment="1" applyProtection="1">
      <alignment horizontal="center"/>
      <protection locked="0"/>
    </xf>
    <xf numFmtId="9" fontId="3" fillId="0" borderId="40" xfId="1" applyFont="1" applyFill="1" applyBorder="1" applyAlignment="1" applyProtection="1">
      <alignment horizontal="center"/>
      <protection locked="0"/>
    </xf>
    <xf numFmtId="9" fontId="3" fillId="0" borderId="28" xfId="1" applyFont="1" applyFill="1" applyBorder="1" applyProtection="1">
      <protection locked="0"/>
    </xf>
    <xf numFmtId="9" fontId="3" fillId="0" borderId="29" xfId="1" applyFont="1" applyFill="1" applyBorder="1" applyProtection="1">
      <protection locked="0"/>
    </xf>
    <xf numFmtId="9" fontId="3" fillId="0" borderId="37" xfId="1" applyFont="1" applyFill="1" applyBorder="1" applyProtection="1">
      <protection locked="0"/>
    </xf>
    <xf numFmtId="1" fontId="3" fillId="0" borderId="46" xfId="0" applyNumberFormat="1" applyFont="1" applyFill="1" applyBorder="1" applyAlignment="1">
      <alignment horizontal="center" wrapText="1"/>
    </xf>
    <xf numFmtId="1" fontId="3" fillId="0" borderId="29" xfId="0" applyNumberFormat="1" applyFont="1" applyFill="1" applyBorder="1" applyAlignment="1">
      <alignment horizontal="center" wrapText="1"/>
    </xf>
    <xf numFmtId="1" fontId="3" fillId="0" borderId="30" xfId="0" applyNumberFormat="1" applyFont="1" applyFill="1" applyBorder="1" applyAlignment="1">
      <alignment horizontal="center" wrapText="1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33" xfId="0" applyNumberFormat="1" applyFont="1" applyFill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60" xfId="0" applyFont="1" applyFill="1" applyBorder="1"/>
    <xf numFmtId="164" fontId="3" fillId="0" borderId="58" xfId="0" applyNumberFormat="1" applyFont="1" applyFill="1" applyBorder="1" applyAlignment="1" applyProtection="1">
      <alignment horizontal="center"/>
      <protection locked="0"/>
    </xf>
    <xf numFmtId="9" fontId="3" fillId="0" borderId="60" xfId="1" applyFont="1" applyFill="1" applyBorder="1" applyAlignment="1" applyProtection="1">
      <alignment horizontal="center"/>
      <protection locked="0"/>
    </xf>
    <xf numFmtId="9" fontId="3" fillId="0" borderId="50" xfId="1" applyFont="1" applyFill="1" applyBorder="1" applyProtection="1">
      <protection locked="0"/>
    </xf>
    <xf numFmtId="9" fontId="3" fillId="0" borderId="51" xfId="1" applyFont="1" applyFill="1" applyBorder="1" applyProtection="1">
      <protection locked="0"/>
    </xf>
    <xf numFmtId="9" fontId="3" fillId="0" borderId="52" xfId="1" applyFont="1" applyFill="1" applyBorder="1" applyProtection="1">
      <protection locked="0"/>
    </xf>
    <xf numFmtId="9" fontId="3" fillId="0" borderId="11" xfId="1" applyFont="1" applyFill="1" applyBorder="1" applyAlignment="1" applyProtection="1">
      <alignment horizontal="center"/>
      <protection locked="0"/>
    </xf>
    <xf numFmtId="0" fontId="3" fillId="0" borderId="56" xfId="0" applyFont="1" applyFill="1" applyBorder="1"/>
    <xf numFmtId="164" fontId="3" fillId="0" borderId="26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3" fillId="0" borderId="41" xfId="0" applyFont="1" applyFill="1" applyBorder="1"/>
    <xf numFmtId="1" fontId="3" fillId="0" borderId="64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/>
    <xf numFmtId="164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38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" fontId="3" fillId="0" borderId="53" xfId="0" applyNumberFormat="1" applyFont="1" applyFill="1" applyBorder="1" applyAlignment="1">
      <alignment horizontal="center" wrapText="1"/>
    </xf>
    <xf numFmtId="1" fontId="3" fillId="0" borderId="20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55" xfId="0" applyNumberFormat="1" applyFont="1" applyFill="1" applyBorder="1" applyAlignment="1" applyProtection="1">
      <alignment horizontal="center"/>
      <protection locked="0"/>
    </xf>
    <xf numFmtId="9" fontId="3" fillId="0" borderId="20" xfId="1" applyFont="1" applyFill="1" applyBorder="1" applyProtection="1">
      <protection locked="0"/>
    </xf>
    <xf numFmtId="9" fontId="3" fillId="0" borderId="27" xfId="1" applyFont="1" applyFill="1" applyBorder="1" applyProtection="1">
      <protection locked="0"/>
    </xf>
    <xf numFmtId="0" fontId="3" fillId="0" borderId="33" xfId="0" applyFont="1" applyFill="1" applyBorder="1"/>
    <xf numFmtId="0" fontId="3" fillId="0" borderId="11" xfId="0" applyFont="1" applyFill="1" applyBorder="1" applyAlignment="1">
      <alignment wrapText="1"/>
    </xf>
    <xf numFmtId="1" fontId="3" fillId="0" borderId="4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1" fontId="3" fillId="0" borderId="29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 wrapText="1"/>
    </xf>
    <xf numFmtId="1" fontId="3" fillId="0" borderId="37" xfId="0" applyNumberFormat="1" applyFont="1" applyFill="1" applyBorder="1" applyAlignment="1">
      <alignment horizontal="center" wrapText="1"/>
    </xf>
    <xf numFmtId="1" fontId="3" fillId="0" borderId="30" xfId="0" applyNumberFormat="1" applyFont="1" applyFill="1" applyBorder="1" applyAlignment="1">
      <alignment horizontal="center"/>
    </xf>
    <xf numFmtId="164" fontId="3" fillId="0" borderId="65" xfId="0" applyNumberFormat="1" applyFont="1" applyFill="1" applyBorder="1" applyAlignment="1" applyProtection="1">
      <alignment horizontal="center"/>
      <protection locked="0"/>
    </xf>
    <xf numFmtId="9" fontId="3" fillId="0" borderId="53" xfId="1" applyFont="1" applyFill="1" applyBorder="1" applyProtection="1">
      <protection locked="0"/>
    </xf>
    <xf numFmtId="0" fontId="0" fillId="0" borderId="62" xfId="0" applyFill="1" applyBorder="1"/>
    <xf numFmtId="0" fontId="3" fillId="0" borderId="62" xfId="0" applyFont="1" applyFill="1" applyBorder="1"/>
    <xf numFmtId="0" fontId="0" fillId="0" borderId="0" xfId="0" applyFill="1" applyBorder="1"/>
    <xf numFmtId="9" fontId="3" fillId="0" borderId="43" xfId="1" applyFont="1" applyFill="1" applyBorder="1" applyProtection="1">
      <protection locked="0"/>
    </xf>
    <xf numFmtId="1" fontId="3" fillId="0" borderId="6" xfId="0" applyNumberFormat="1" applyFont="1" applyFill="1" applyBorder="1" applyAlignment="1">
      <alignment horizontal="center"/>
    </xf>
    <xf numFmtId="1" fontId="3" fillId="0" borderId="32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164" fontId="3" fillId="0" borderId="33" xfId="0" applyNumberFormat="1" applyFont="1" applyFill="1" applyBorder="1" applyAlignment="1" applyProtection="1">
      <alignment horizontal="center"/>
      <protection locked="0"/>
    </xf>
    <xf numFmtId="164" fontId="3" fillId="0" borderId="69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center" wrapText="1"/>
    </xf>
    <xf numFmtId="0" fontId="3" fillId="0" borderId="7" xfId="0" applyFont="1" applyFill="1" applyBorder="1"/>
    <xf numFmtId="0" fontId="3" fillId="0" borderId="34" xfId="0" applyFont="1" applyFill="1" applyBorder="1"/>
    <xf numFmtId="0" fontId="3" fillId="0" borderId="19" xfId="0" applyFont="1" applyFill="1" applyBorder="1"/>
    <xf numFmtId="0" fontId="7" fillId="0" borderId="0" xfId="0" applyFont="1" applyFill="1"/>
    <xf numFmtId="0" fontId="0" fillId="0" borderId="31" xfId="0" applyFill="1" applyBorder="1"/>
    <xf numFmtId="0" fontId="2" fillId="0" borderId="6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2" fillId="0" borderId="5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3" fillId="0" borderId="14" xfId="0" applyFont="1" applyFill="1" applyBorder="1"/>
    <xf numFmtId="0" fontId="3" fillId="0" borderId="35" xfId="0" applyFont="1" applyFill="1" applyBorder="1"/>
    <xf numFmtId="0" fontId="6" fillId="0" borderId="0" xfId="0" applyFont="1" applyFill="1"/>
    <xf numFmtId="0" fontId="0" fillId="0" borderId="47" xfId="0" applyFill="1" applyBorder="1"/>
    <xf numFmtId="0" fontId="2" fillId="0" borderId="44" xfId="0" applyFont="1" applyFill="1" applyBorder="1" applyAlignment="1">
      <alignment horizontal="center" wrapText="1"/>
    </xf>
    <xf numFmtId="1" fontId="8" fillId="0" borderId="56" xfId="0" applyNumberFormat="1" applyFont="1" applyFill="1" applyBorder="1" applyAlignment="1">
      <alignment horizontal="center"/>
    </xf>
    <xf numFmtId="164" fontId="8" fillId="0" borderId="42" xfId="0" applyNumberFormat="1" applyFont="1" applyFill="1" applyBorder="1" applyAlignment="1">
      <alignment horizontal="center"/>
    </xf>
    <xf numFmtId="0" fontId="0" fillId="0" borderId="42" xfId="0" applyFill="1" applyBorder="1"/>
    <xf numFmtId="1" fontId="8" fillId="0" borderId="23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center"/>
    </xf>
    <xf numFmtId="1" fontId="8" fillId="0" borderId="25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 wrapText="1"/>
    </xf>
    <xf numFmtId="1" fontId="3" fillId="0" borderId="51" xfId="0" applyNumberFormat="1" applyFont="1" applyFill="1" applyBorder="1" applyAlignment="1">
      <alignment horizontal="center" wrapText="1"/>
    </xf>
    <xf numFmtId="1" fontId="3" fillId="0" borderId="58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8" fillId="0" borderId="9" xfId="0" applyFont="1" applyFill="1" applyBorder="1"/>
    <xf numFmtId="0" fontId="8" fillId="0" borderId="31" xfId="0" applyFont="1" applyFill="1" applyBorder="1"/>
    <xf numFmtId="0" fontId="8" fillId="0" borderId="0" xfId="0" applyFont="1" applyFill="1"/>
    <xf numFmtId="0" fontId="3" fillId="0" borderId="65" xfId="0" applyFont="1" applyFill="1" applyBorder="1"/>
    <xf numFmtId="164" fontId="3" fillId="0" borderId="47" xfId="0" applyNumberFormat="1" applyFont="1" applyFill="1" applyBorder="1" applyAlignment="1">
      <alignment horizontal="center"/>
    </xf>
    <xf numFmtId="164" fontId="3" fillId="0" borderId="43" xfId="0" applyNumberFormat="1" applyFont="1" applyFill="1" applyBorder="1" applyAlignment="1">
      <alignment horizontal="center"/>
    </xf>
    <xf numFmtId="164" fontId="3" fillId="0" borderId="43" xfId="0" applyNumberFormat="1" applyFont="1" applyFill="1" applyBorder="1" applyAlignment="1" applyProtection="1">
      <alignment horizontal="center"/>
      <protection locked="0"/>
    </xf>
    <xf numFmtId="164" fontId="3" fillId="0" borderId="46" xfId="0" applyNumberFormat="1" applyFont="1" applyFill="1" applyBorder="1" applyAlignment="1">
      <alignment horizontal="center"/>
    </xf>
    <xf numFmtId="164" fontId="3" fillId="0" borderId="46" xfId="0" applyNumberFormat="1" applyFont="1" applyFill="1" applyBorder="1" applyAlignment="1" applyProtection="1">
      <alignment horizontal="center"/>
      <protection locked="0"/>
    </xf>
    <xf numFmtId="164" fontId="3" fillId="0" borderId="44" xfId="0" applyNumberFormat="1" applyFont="1" applyFill="1" applyBorder="1" applyAlignment="1">
      <alignment horizontal="center"/>
    </xf>
    <xf numFmtId="164" fontId="3" fillId="0" borderId="70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wrapText="1"/>
    </xf>
    <xf numFmtId="164" fontId="3" fillId="0" borderId="71" xfId="0" applyNumberFormat="1" applyFont="1" applyFill="1" applyBorder="1" applyAlignment="1" applyProtection="1">
      <alignment horizontal="center"/>
      <protection locked="0"/>
    </xf>
    <xf numFmtId="164" fontId="3" fillId="0" borderId="31" xfId="0" applyNumberFormat="1" applyFont="1" applyFill="1" applyBorder="1" applyAlignment="1">
      <alignment horizontal="center"/>
    </xf>
    <xf numFmtId="1" fontId="3" fillId="0" borderId="72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7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5" fillId="0" borderId="22" xfId="0" applyFont="1" applyFill="1" applyBorder="1" applyAlignment="1">
      <alignment horizontal="left"/>
    </xf>
    <xf numFmtId="0" fontId="5" fillId="0" borderId="49" xfId="0" applyFont="1" applyFill="1" applyBorder="1" applyAlignment="1">
      <alignment horizontal="left"/>
    </xf>
    <xf numFmtId="0" fontId="5" fillId="0" borderId="48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6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2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68" xfId="0" applyFont="1" applyFill="1" applyBorder="1" applyAlignment="1">
      <alignment horizontal="center" wrapText="1"/>
    </xf>
    <xf numFmtId="0" fontId="2" fillId="0" borderId="63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horizontal="center" wrapText="1"/>
    </xf>
    <xf numFmtId="0" fontId="2" fillId="0" borderId="57" xfId="0" applyFont="1" applyFill="1" applyBorder="1" applyAlignment="1">
      <alignment horizontal="center" wrapText="1"/>
    </xf>
    <xf numFmtId="0" fontId="2" fillId="0" borderId="58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2" fillId="0" borderId="54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"/>
  <sheetViews>
    <sheetView tabSelected="1" workbookViewId="0">
      <selection activeCell="A46" sqref="A46"/>
    </sheetView>
  </sheetViews>
  <sheetFormatPr defaultRowHeight="15" x14ac:dyDescent="0.25"/>
  <cols>
    <col min="1" max="1" width="67.7109375" customWidth="1"/>
    <col min="2" max="2" width="10.140625" customWidth="1"/>
    <col min="3" max="3" width="8.85546875" customWidth="1"/>
    <col min="4" max="4" width="10.5703125" customWidth="1"/>
    <col min="5" max="5" width="13" customWidth="1"/>
    <col min="6" max="9" width="10" hidden="1" customWidth="1"/>
    <col min="10" max="10" width="15.5703125" customWidth="1"/>
    <col min="11" max="12" width="10.28515625" customWidth="1"/>
    <col min="13" max="13" width="11" customWidth="1"/>
  </cols>
  <sheetData>
    <row r="1" spans="1:24" ht="18.75" x14ac:dyDescent="0.3">
      <c r="A1" s="161"/>
      <c r="B1" s="158" t="s">
        <v>163</v>
      </c>
      <c r="C1" s="160"/>
      <c r="D1" s="154" t="s">
        <v>0</v>
      </c>
      <c r="E1" s="154" t="s">
        <v>143</v>
      </c>
      <c r="F1" s="163" t="s">
        <v>1</v>
      </c>
      <c r="G1" s="165" t="s">
        <v>2</v>
      </c>
      <c r="H1" s="165" t="s">
        <v>3</v>
      </c>
      <c r="I1" s="152" t="s">
        <v>4</v>
      </c>
      <c r="J1" s="156" t="s">
        <v>74</v>
      </c>
      <c r="K1" s="158" t="s">
        <v>78</v>
      </c>
      <c r="L1" s="159"/>
      <c r="M1" s="160"/>
    </row>
    <row r="2" spans="1:24" s="1" customFormat="1" ht="33.75" customHeight="1" thickBot="1" x14ac:dyDescent="0.35">
      <c r="A2" s="162"/>
      <c r="B2" s="81" t="s">
        <v>160</v>
      </c>
      <c r="C2" s="82" t="s">
        <v>162</v>
      </c>
      <c r="D2" s="155"/>
      <c r="E2" s="155"/>
      <c r="F2" s="164"/>
      <c r="G2" s="166"/>
      <c r="H2" s="166"/>
      <c r="I2" s="153"/>
      <c r="J2" s="157"/>
      <c r="K2" s="81" t="s">
        <v>79</v>
      </c>
      <c r="L2" s="64" t="s">
        <v>80</v>
      </c>
      <c r="M2" s="82" t="s">
        <v>81</v>
      </c>
    </row>
    <row r="3" spans="1:24" s="8" customFormat="1" ht="18.75" x14ac:dyDescent="0.3">
      <c r="A3" s="80" t="s">
        <v>84</v>
      </c>
      <c r="B3" s="9">
        <v>30.9</v>
      </c>
      <c r="C3" s="11">
        <f t="shared" ref="C3:C33" si="0">B3/453.6</f>
        <v>6.8121693121693111E-2</v>
      </c>
      <c r="D3" s="5">
        <f t="shared" ref="D3:D33" si="1">(4*SUM(F3-G3,I3))+(9*H3)</f>
        <v>201</v>
      </c>
      <c r="E3" s="106">
        <f t="shared" ref="E3:E33" si="2">D3/B3</f>
        <v>6.5048543689320395</v>
      </c>
      <c r="F3" s="12">
        <v>7</v>
      </c>
      <c r="G3" s="13">
        <v>1</v>
      </c>
      <c r="H3" s="13">
        <v>17</v>
      </c>
      <c r="I3" s="14">
        <v>6</v>
      </c>
      <c r="J3" s="16">
        <f t="shared" ref="J3:J33" si="3">SUM(F3,-G3,H3,I3)/B3</f>
        <v>0.93851132686084149</v>
      </c>
      <c r="K3" s="17">
        <f t="shared" ref="K3:K33" si="4">(F3-G3)/SUM(F3-G3,H3:I3)</f>
        <v>0.20689655172413793</v>
      </c>
      <c r="L3" s="18">
        <f t="shared" ref="L3:L33" si="5">H3/SUM(F3,-G3,H3:I3)</f>
        <v>0.58620689655172409</v>
      </c>
      <c r="M3" s="19">
        <f t="shared" ref="M3:M33" si="6">I3/SUM(F3-G3,,H3:I3)</f>
        <v>0.20689655172413793</v>
      </c>
      <c r="N3" s="2"/>
    </row>
    <row r="4" spans="1:24" s="8" customFormat="1" ht="18.75" x14ac:dyDescent="0.3">
      <c r="A4" s="32" t="s">
        <v>197</v>
      </c>
      <c r="B4" s="33">
        <v>138</v>
      </c>
      <c r="C4" s="23">
        <f t="shared" si="0"/>
        <v>0.30423280423280424</v>
      </c>
      <c r="D4" s="6">
        <f t="shared" si="1"/>
        <v>819.3</v>
      </c>
      <c r="E4" s="79">
        <f t="shared" si="2"/>
        <v>5.9369565217391305</v>
      </c>
      <c r="F4" s="24">
        <v>26.6</v>
      </c>
      <c r="G4" s="25">
        <v>16.3</v>
      </c>
      <c r="H4" s="25">
        <v>72.900000000000006</v>
      </c>
      <c r="I4" s="26">
        <v>30.5</v>
      </c>
      <c r="J4" s="28">
        <f t="shared" si="3"/>
        <v>0.82391304347826089</v>
      </c>
      <c r="K4" s="29">
        <f t="shared" si="4"/>
        <v>9.0589270008795075E-2</v>
      </c>
      <c r="L4" s="30">
        <f t="shared" si="5"/>
        <v>0.64116094986807393</v>
      </c>
      <c r="M4" s="31">
        <f t="shared" si="6"/>
        <v>0.26824978012313105</v>
      </c>
      <c r="N4" s="2"/>
    </row>
    <row r="5" spans="1:24" s="8" customFormat="1" ht="18.75" x14ac:dyDescent="0.3">
      <c r="A5" s="20" t="s">
        <v>45</v>
      </c>
      <c r="B5" s="21">
        <v>28.3</v>
      </c>
      <c r="C5" s="23">
        <f t="shared" si="0"/>
        <v>6.2389770723104053E-2</v>
      </c>
      <c r="D5" s="6">
        <f t="shared" si="1"/>
        <v>135</v>
      </c>
      <c r="E5" s="79">
        <f t="shared" si="2"/>
        <v>4.7703180212014136</v>
      </c>
      <c r="F5" s="24">
        <v>20</v>
      </c>
      <c r="G5" s="25">
        <v>2</v>
      </c>
      <c r="H5" s="25">
        <v>7</v>
      </c>
      <c r="I5" s="26">
        <v>0</v>
      </c>
      <c r="J5" s="28">
        <f t="shared" si="3"/>
        <v>0.88339222614840984</v>
      </c>
      <c r="K5" s="29">
        <f t="shared" si="4"/>
        <v>0.72</v>
      </c>
      <c r="L5" s="30">
        <f t="shared" si="5"/>
        <v>0.28000000000000003</v>
      </c>
      <c r="M5" s="31">
        <f t="shared" si="6"/>
        <v>0</v>
      </c>
    </row>
    <row r="6" spans="1:24" s="8" customFormat="1" ht="18.75" x14ac:dyDescent="0.3">
      <c r="A6" s="20" t="s">
        <v>198</v>
      </c>
      <c r="B6" s="21">
        <v>30</v>
      </c>
      <c r="C6" s="23">
        <f t="shared" si="0"/>
        <v>6.6137566137566134E-2</v>
      </c>
      <c r="D6" s="6">
        <f t="shared" si="1"/>
        <v>147</v>
      </c>
      <c r="E6" s="79">
        <f t="shared" si="2"/>
        <v>4.9000000000000004</v>
      </c>
      <c r="F6" s="24">
        <v>2</v>
      </c>
      <c r="G6" s="25">
        <v>0</v>
      </c>
      <c r="H6" s="25">
        <v>15</v>
      </c>
      <c r="I6" s="26">
        <v>1</v>
      </c>
      <c r="J6" s="28">
        <f t="shared" si="3"/>
        <v>0.6</v>
      </c>
      <c r="K6" s="29">
        <f t="shared" si="4"/>
        <v>0.1111111111111111</v>
      </c>
      <c r="L6" s="30">
        <f t="shared" si="5"/>
        <v>0.83333333333333337</v>
      </c>
      <c r="M6" s="31">
        <f t="shared" si="6"/>
        <v>5.5555555555555552E-2</v>
      </c>
      <c r="N6" s="2"/>
    </row>
    <row r="7" spans="1:24" s="8" customFormat="1" ht="18.75" x14ac:dyDescent="0.3">
      <c r="A7" s="20" t="s">
        <v>95</v>
      </c>
      <c r="B7" s="21">
        <v>30</v>
      </c>
      <c r="C7" s="23">
        <f t="shared" si="0"/>
        <v>6.6137566137566134E-2</v>
      </c>
      <c r="D7" s="6">
        <f>(4*SUM(F7-G7,I7))+(9*H7)</f>
        <v>130</v>
      </c>
      <c r="E7" s="79">
        <f t="shared" si="2"/>
        <v>4.333333333333333</v>
      </c>
      <c r="F7" s="24">
        <v>0</v>
      </c>
      <c r="G7" s="25">
        <v>0</v>
      </c>
      <c r="H7" s="25">
        <v>10</v>
      </c>
      <c r="I7" s="26">
        <v>10</v>
      </c>
      <c r="J7" s="28">
        <f t="shared" si="3"/>
        <v>0.66666666666666663</v>
      </c>
      <c r="K7" s="29">
        <f t="shared" si="4"/>
        <v>0</v>
      </c>
      <c r="L7" s="30">
        <f t="shared" si="5"/>
        <v>0.5</v>
      </c>
      <c r="M7" s="31">
        <f t="shared" si="6"/>
        <v>0.5</v>
      </c>
    </row>
    <row r="8" spans="1:24" s="8" customFormat="1" ht="18.75" x14ac:dyDescent="0.3">
      <c r="A8" s="20" t="s">
        <v>136</v>
      </c>
      <c r="B8" s="21">
        <v>46.1</v>
      </c>
      <c r="C8" s="23">
        <f t="shared" si="0"/>
        <v>0.10163139329805997</v>
      </c>
      <c r="D8" s="6">
        <f t="shared" si="1"/>
        <v>105</v>
      </c>
      <c r="E8" s="79">
        <f t="shared" si="2"/>
        <v>2.2776572668112798</v>
      </c>
      <c r="F8" s="24">
        <v>24</v>
      </c>
      <c r="G8" s="25">
        <v>5</v>
      </c>
      <c r="H8" s="25">
        <v>1</v>
      </c>
      <c r="I8" s="26">
        <v>5</v>
      </c>
      <c r="J8" s="28">
        <f t="shared" si="3"/>
        <v>0.54229934924078094</v>
      </c>
      <c r="K8" s="29">
        <f t="shared" si="4"/>
        <v>0.76</v>
      </c>
      <c r="L8" s="30">
        <f t="shared" si="5"/>
        <v>0.04</v>
      </c>
      <c r="M8" s="31">
        <f t="shared" si="6"/>
        <v>0.2</v>
      </c>
      <c r="N8" s="2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8" customFormat="1" ht="18.75" x14ac:dyDescent="0.3">
      <c r="A9" s="20" t="s">
        <v>199</v>
      </c>
      <c r="B9" s="21">
        <v>85</v>
      </c>
      <c r="C9" s="23">
        <f t="shared" si="0"/>
        <v>0.18738977072310406</v>
      </c>
      <c r="D9" s="6">
        <f t="shared" si="1"/>
        <v>437.80000000000007</v>
      </c>
      <c r="E9" s="79">
        <f t="shared" si="2"/>
        <v>5.1505882352941184</v>
      </c>
      <c r="F9" s="24">
        <v>49.6</v>
      </c>
      <c r="G9" s="25">
        <v>6.5</v>
      </c>
      <c r="H9" s="25">
        <v>28.6</v>
      </c>
      <c r="I9" s="26">
        <v>2</v>
      </c>
      <c r="J9" s="28">
        <f t="shared" si="3"/>
        <v>0.86705882352941177</v>
      </c>
      <c r="K9" s="29">
        <f t="shared" si="4"/>
        <v>0.58480325644504749</v>
      </c>
      <c r="L9" s="30">
        <f t="shared" si="5"/>
        <v>0.38805970149253732</v>
      </c>
      <c r="M9" s="31">
        <f t="shared" si="6"/>
        <v>2.7137042062415195E-2</v>
      </c>
      <c r="N9" s="2"/>
    </row>
    <row r="10" spans="1:24" s="8" customFormat="1" ht="18.75" x14ac:dyDescent="0.3">
      <c r="A10" s="32" t="s">
        <v>150</v>
      </c>
      <c r="B10" s="33">
        <f>30.9+B8/2</f>
        <v>53.95</v>
      </c>
      <c r="C10" s="23">
        <f t="shared" si="0"/>
        <v>0.1189373897707231</v>
      </c>
      <c r="D10" s="6">
        <f t="shared" si="1"/>
        <v>195.3</v>
      </c>
      <c r="E10" s="79">
        <f t="shared" si="2"/>
        <v>3.6200185356811865</v>
      </c>
      <c r="F10" s="24">
        <f>F8/2+18.5</f>
        <v>30.5</v>
      </c>
      <c r="G10" s="25">
        <f>G8/2+2.1</f>
        <v>4.5999999999999996</v>
      </c>
      <c r="H10" s="25">
        <f>H8/2+7.2</f>
        <v>7.7</v>
      </c>
      <c r="I10" s="26">
        <f>I8/2+3.1</f>
        <v>5.6</v>
      </c>
      <c r="J10" s="28">
        <f t="shared" si="3"/>
        <v>0.72659870250231695</v>
      </c>
      <c r="K10" s="29">
        <f t="shared" si="4"/>
        <v>0.66071428571428559</v>
      </c>
      <c r="L10" s="30">
        <f t="shared" si="5"/>
        <v>0.19642857142857142</v>
      </c>
      <c r="M10" s="31">
        <f t="shared" si="6"/>
        <v>0.14285714285714285</v>
      </c>
    </row>
    <row r="11" spans="1:24" s="8" customFormat="1" ht="18.75" x14ac:dyDescent="0.3">
      <c r="A11" s="20" t="s">
        <v>85</v>
      </c>
      <c r="B11" s="21">
        <v>57</v>
      </c>
      <c r="C11" s="23">
        <f t="shared" si="0"/>
        <v>0.12566137566137567</v>
      </c>
      <c r="D11" s="6">
        <f t="shared" si="1"/>
        <v>388.24</v>
      </c>
      <c r="E11" s="79">
        <f t="shared" si="2"/>
        <v>6.8112280701754386</v>
      </c>
      <c r="F11" s="24">
        <v>7</v>
      </c>
      <c r="G11" s="25">
        <f>57/20*2</f>
        <v>5.7</v>
      </c>
      <c r="H11" s="25">
        <f>57/20*13.6</f>
        <v>38.76</v>
      </c>
      <c r="I11" s="26">
        <f>57/20*3</f>
        <v>8.5500000000000007</v>
      </c>
      <c r="J11" s="28">
        <f t="shared" si="3"/>
        <v>0.85280701754385968</v>
      </c>
      <c r="K11" s="29">
        <f t="shared" si="4"/>
        <v>2.6743468422135361E-2</v>
      </c>
      <c r="L11" s="30">
        <f t="shared" si="5"/>
        <v>0.79736679695535895</v>
      </c>
      <c r="M11" s="31">
        <f t="shared" si="6"/>
        <v>0.17588973462250568</v>
      </c>
      <c r="N11" s="2"/>
    </row>
    <row r="12" spans="1:24" s="8" customFormat="1" ht="18.75" x14ac:dyDescent="0.3">
      <c r="A12" s="20" t="s">
        <v>200</v>
      </c>
      <c r="B12" s="21">
        <v>137</v>
      </c>
      <c r="C12" s="23">
        <f t="shared" si="0"/>
        <v>0.30202821869488533</v>
      </c>
      <c r="D12" s="6">
        <f t="shared" si="1"/>
        <v>818.3</v>
      </c>
      <c r="E12" s="79">
        <f t="shared" si="2"/>
        <v>5.9729927007299271</v>
      </c>
      <c r="F12" s="24">
        <v>44.8</v>
      </c>
      <c r="G12" s="25">
        <v>4.0999999999999996</v>
      </c>
      <c r="H12" s="25">
        <v>63.5</v>
      </c>
      <c r="I12" s="26">
        <v>21</v>
      </c>
      <c r="J12" s="28">
        <f t="shared" si="3"/>
        <v>0.91386861313868606</v>
      </c>
      <c r="K12" s="29">
        <f t="shared" si="4"/>
        <v>0.32507987220447282</v>
      </c>
      <c r="L12" s="30">
        <f t="shared" si="5"/>
        <v>0.50718849840255598</v>
      </c>
      <c r="M12" s="31">
        <f t="shared" si="6"/>
        <v>0.16773162939297126</v>
      </c>
      <c r="N12" s="2"/>
    </row>
    <row r="13" spans="1:24" s="8" customFormat="1" ht="18.75" x14ac:dyDescent="0.3">
      <c r="A13" s="20" t="s">
        <v>166</v>
      </c>
      <c r="B13" s="21">
        <v>60</v>
      </c>
      <c r="C13" s="23">
        <f t="shared" si="0"/>
        <v>0.13227513227513227</v>
      </c>
      <c r="D13" s="6">
        <f t="shared" si="1"/>
        <v>242</v>
      </c>
      <c r="E13" s="79">
        <f t="shared" si="2"/>
        <v>4.0333333333333332</v>
      </c>
      <c r="F13" s="24">
        <v>6</v>
      </c>
      <c r="G13" s="25">
        <v>0</v>
      </c>
      <c r="H13" s="25">
        <v>18</v>
      </c>
      <c r="I13" s="26">
        <v>14</v>
      </c>
      <c r="J13" s="28">
        <f t="shared" si="3"/>
        <v>0.6333333333333333</v>
      </c>
      <c r="K13" s="29">
        <f t="shared" si="4"/>
        <v>0.15789473684210525</v>
      </c>
      <c r="L13" s="30">
        <f t="shared" si="5"/>
        <v>0.47368421052631576</v>
      </c>
      <c r="M13" s="31">
        <f t="shared" si="6"/>
        <v>0.36842105263157893</v>
      </c>
      <c r="N13" s="2"/>
    </row>
    <row r="14" spans="1:24" s="8" customFormat="1" ht="18.75" x14ac:dyDescent="0.3">
      <c r="A14" s="20" t="s">
        <v>76</v>
      </c>
      <c r="B14" s="21">
        <v>24</v>
      </c>
      <c r="C14" s="23">
        <f t="shared" si="0"/>
        <v>5.2910052910052907E-2</v>
      </c>
      <c r="D14" s="6">
        <f t="shared" si="1"/>
        <v>132</v>
      </c>
      <c r="E14" s="79">
        <f t="shared" si="2"/>
        <v>5.5</v>
      </c>
      <c r="F14" s="24">
        <v>2</v>
      </c>
      <c r="G14" s="25">
        <v>2</v>
      </c>
      <c r="H14" s="25">
        <v>12</v>
      </c>
      <c r="I14" s="26">
        <v>6</v>
      </c>
      <c r="J14" s="28">
        <f t="shared" si="3"/>
        <v>0.75</v>
      </c>
      <c r="K14" s="29">
        <f t="shared" si="4"/>
        <v>0</v>
      </c>
      <c r="L14" s="30">
        <f t="shared" si="5"/>
        <v>0.66666666666666663</v>
      </c>
      <c r="M14" s="31">
        <f t="shared" si="6"/>
        <v>0.33333333333333331</v>
      </c>
    </row>
    <row r="15" spans="1:24" s="8" customFormat="1" ht="18.75" x14ac:dyDescent="0.3">
      <c r="A15" s="20" t="s">
        <v>112</v>
      </c>
      <c r="B15" s="21">
        <v>29.8</v>
      </c>
      <c r="C15" s="23">
        <f t="shared" si="0"/>
        <v>6.569664902998236E-2</v>
      </c>
      <c r="D15" s="6">
        <f t="shared" si="1"/>
        <v>138.19999999999999</v>
      </c>
      <c r="E15" s="79">
        <f t="shared" si="2"/>
        <v>4.6375838926174495</v>
      </c>
      <c r="F15" s="33">
        <v>20</v>
      </c>
      <c r="G15" s="34">
        <v>0.7</v>
      </c>
      <c r="H15" s="34">
        <v>5</v>
      </c>
      <c r="I15" s="35">
        <v>4</v>
      </c>
      <c r="J15" s="28">
        <f t="shared" si="3"/>
        <v>0.94966442953020136</v>
      </c>
      <c r="K15" s="29">
        <f t="shared" si="4"/>
        <v>0.6819787985865724</v>
      </c>
      <c r="L15" s="30">
        <f t="shared" si="5"/>
        <v>0.17667844522968199</v>
      </c>
      <c r="M15" s="31">
        <f t="shared" si="6"/>
        <v>0.14134275618374559</v>
      </c>
      <c r="N15" s="2"/>
    </row>
    <row r="16" spans="1:24" s="8" customFormat="1" ht="18.75" x14ac:dyDescent="0.3">
      <c r="A16" s="20" t="s">
        <v>116</v>
      </c>
      <c r="B16" s="21">
        <v>28.4</v>
      </c>
      <c r="C16" s="23">
        <f t="shared" si="0"/>
        <v>6.261022927689594E-2</v>
      </c>
      <c r="D16" s="6">
        <f t="shared" si="1"/>
        <v>159</v>
      </c>
      <c r="E16" s="79">
        <f t="shared" si="2"/>
        <v>5.598591549295775</v>
      </c>
      <c r="F16" s="33">
        <v>9</v>
      </c>
      <c r="G16" s="34">
        <v>0</v>
      </c>
      <c r="H16" s="34">
        <v>11</v>
      </c>
      <c r="I16" s="35">
        <v>6</v>
      </c>
      <c r="J16" s="28">
        <f t="shared" si="3"/>
        <v>0.91549295774647887</v>
      </c>
      <c r="K16" s="29">
        <f t="shared" si="4"/>
        <v>0.34615384615384615</v>
      </c>
      <c r="L16" s="30">
        <f t="shared" si="5"/>
        <v>0.42307692307692307</v>
      </c>
      <c r="M16" s="31">
        <f t="shared" si="6"/>
        <v>0.23076923076923078</v>
      </c>
      <c r="N16" s="2"/>
    </row>
    <row r="17" spans="1:24" s="4" customFormat="1" ht="18.75" x14ac:dyDescent="0.3">
      <c r="A17" s="20" t="s">
        <v>114</v>
      </c>
      <c r="B17" s="21">
        <v>30</v>
      </c>
      <c r="C17" s="23">
        <f t="shared" si="0"/>
        <v>6.6137566137566134E-2</v>
      </c>
      <c r="D17" s="6">
        <f t="shared" si="1"/>
        <v>156</v>
      </c>
      <c r="E17" s="79">
        <f t="shared" si="2"/>
        <v>5.2</v>
      </c>
      <c r="F17" s="24">
        <v>18</v>
      </c>
      <c r="G17" s="25">
        <v>1</v>
      </c>
      <c r="H17" s="25">
        <v>8</v>
      </c>
      <c r="I17" s="26">
        <v>4</v>
      </c>
      <c r="J17" s="28">
        <f t="shared" si="3"/>
        <v>0.96666666666666667</v>
      </c>
      <c r="K17" s="29">
        <f t="shared" si="4"/>
        <v>0.58620689655172409</v>
      </c>
      <c r="L17" s="30">
        <f t="shared" si="5"/>
        <v>0.27586206896551724</v>
      </c>
      <c r="M17" s="31">
        <f t="shared" si="6"/>
        <v>0.13793103448275862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8" customFormat="1" ht="18.75" x14ac:dyDescent="0.3">
      <c r="A18" s="32" t="s">
        <v>9</v>
      </c>
      <c r="B18" s="33">
        <v>40</v>
      </c>
      <c r="C18" s="23">
        <f t="shared" si="0"/>
        <v>8.8183421516754845E-2</v>
      </c>
      <c r="D18" s="6">
        <f t="shared" si="1"/>
        <v>219.2</v>
      </c>
      <c r="E18" s="79">
        <f t="shared" si="2"/>
        <v>5.4799999999999995</v>
      </c>
      <c r="F18" s="24">
        <v>21</v>
      </c>
      <c r="G18" s="25">
        <v>1.7</v>
      </c>
      <c r="H18" s="25">
        <v>14</v>
      </c>
      <c r="I18" s="26">
        <v>4</v>
      </c>
      <c r="J18" s="28">
        <f t="shared" si="3"/>
        <v>0.93249999999999988</v>
      </c>
      <c r="K18" s="29">
        <f t="shared" si="4"/>
        <v>0.51742627345844505</v>
      </c>
      <c r="L18" s="30">
        <f t="shared" si="5"/>
        <v>0.37533512064343166</v>
      </c>
      <c r="M18" s="31">
        <f t="shared" si="6"/>
        <v>0.10723860589812333</v>
      </c>
    </row>
    <row r="19" spans="1:24" s="8" customFormat="1" ht="18.75" x14ac:dyDescent="0.3">
      <c r="A19" s="49" t="s">
        <v>71</v>
      </c>
      <c r="B19" s="50">
        <v>36</v>
      </c>
      <c r="C19" s="51">
        <f t="shared" si="0"/>
        <v>7.9365079365079361E-2</v>
      </c>
      <c r="D19" s="61">
        <f t="shared" si="1"/>
        <v>129</v>
      </c>
      <c r="E19" s="107">
        <f t="shared" si="2"/>
        <v>3.5833333333333335</v>
      </c>
      <c r="F19" s="91">
        <v>26</v>
      </c>
      <c r="G19" s="94">
        <v>1</v>
      </c>
      <c r="H19" s="94">
        <v>1</v>
      </c>
      <c r="I19" s="97">
        <v>5</v>
      </c>
      <c r="J19" s="53">
        <f t="shared" si="3"/>
        <v>0.86111111111111116</v>
      </c>
      <c r="K19" s="54">
        <f t="shared" si="4"/>
        <v>0.80645161290322576</v>
      </c>
      <c r="L19" s="55">
        <f t="shared" si="5"/>
        <v>3.2258064516129031E-2</v>
      </c>
      <c r="M19" s="56">
        <f t="shared" si="6"/>
        <v>0.16129032258064516</v>
      </c>
      <c r="N19" s="2"/>
    </row>
    <row r="20" spans="1:24" s="8" customFormat="1" ht="18.75" x14ac:dyDescent="0.3">
      <c r="A20" s="20" t="s">
        <v>124</v>
      </c>
      <c r="B20" s="21">
        <v>35</v>
      </c>
      <c r="C20" s="23">
        <f t="shared" si="0"/>
        <v>7.716049382716049E-2</v>
      </c>
      <c r="D20" s="6">
        <f t="shared" si="1"/>
        <v>164</v>
      </c>
      <c r="E20" s="79">
        <f t="shared" si="2"/>
        <v>4.6857142857142859</v>
      </c>
      <c r="F20" s="24">
        <v>10</v>
      </c>
      <c r="G20" s="25">
        <v>3</v>
      </c>
      <c r="H20" s="25">
        <v>12</v>
      </c>
      <c r="I20" s="26">
        <v>7</v>
      </c>
      <c r="J20" s="28">
        <f t="shared" si="3"/>
        <v>0.74285714285714288</v>
      </c>
      <c r="K20" s="29">
        <f t="shared" si="4"/>
        <v>0.26923076923076922</v>
      </c>
      <c r="L20" s="30">
        <f t="shared" si="5"/>
        <v>0.46153846153846156</v>
      </c>
      <c r="M20" s="31">
        <f t="shared" si="6"/>
        <v>0.26923076923076922</v>
      </c>
      <c r="N20" s="2"/>
    </row>
    <row r="21" spans="1:24" s="8" customFormat="1" ht="18.75" x14ac:dyDescent="0.3">
      <c r="A21" s="20" t="s">
        <v>68</v>
      </c>
      <c r="B21" s="21">
        <v>68</v>
      </c>
      <c r="C21" s="23">
        <f t="shared" si="0"/>
        <v>0.14991181657848324</v>
      </c>
      <c r="D21" s="6">
        <f t="shared" si="1"/>
        <v>237</v>
      </c>
      <c r="E21" s="79">
        <f t="shared" si="2"/>
        <v>3.4852941176470589</v>
      </c>
      <c r="F21" s="24">
        <v>43</v>
      </c>
      <c r="G21" s="25">
        <v>5</v>
      </c>
      <c r="H21" s="25">
        <v>5</v>
      </c>
      <c r="I21" s="26">
        <v>10</v>
      </c>
      <c r="J21" s="28">
        <f t="shared" si="3"/>
        <v>0.77941176470588236</v>
      </c>
      <c r="K21" s="29">
        <f t="shared" si="4"/>
        <v>0.71698113207547165</v>
      </c>
      <c r="L21" s="30">
        <f t="shared" si="5"/>
        <v>9.4339622641509441E-2</v>
      </c>
      <c r="M21" s="31">
        <f t="shared" si="6"/>
        <v>0.18867924528301888</v>
      </c>
      <c r="N21" s="2"/>
    </row>
    <row r="22" spans="1:24" s="8" customFormat="1" ht="18.75" x14ac:dyDescent="0.3">
      <c r="A22" s="36" t="s">
        <v>128</v>
      </c>
      <c r="B22" s="21">
        <v>30</v>
      </c>
      <c r="C22" s="23">
        <f t="shared" si="0"/>
        <v>6.6137566137566134E-2</v>
      </c>
      <c r="D22" s="6">
        <f t="shared" si="1"/>
        <v>138</v>
      </c>
      <c r="E22" s="79">
        <f t="shared" si="2"/>
        <v>4.5999999999999996</v>
      </c>
      <c r="F22" s="24">
        <v>12</v>
      </c>
      <c r="G22" s="25">
        <v>2</v>
      </c>
      <c r="H22" s="25">
        <v>10</v>
      </c>
      <c r="I22" s="26">
        <v>2</v>
      </c>
      <c r="J22" s="28">
        <f t="shared" si="3"/>
        <v>0.73333333333333328</v>
      </c>
      <c r="K22" s="29">
        <f t="shared" si="4"/>
        <v>0.45454545454545453</v>
      </c>
      <c r="L22" s="30">
        <f t="shared" si="5"/>
        <v>0.45454545454545453</v>
      </c>
      <c r="M22" s="31">
        <f t="shared" si="6"/>
        <v>9.0909090909090912E-2</v>
      </c>
      <c r="N22" s="2"/>
    </row>
    <row r="23" spans="1:24" s="8" customFormat="1" ht="18.75" x14ac:dyDescent="0.3">
      <c r="A23" s="20" t="s">
        <v>111</v>
      </c>
      <c r="B23" s="21">
        <v>35</v>
      </c>
      <c r="C23" s="23">
        <f t="shared" si="0"/>
        <v>7.716049382716049E-2</v>
      </c>
      <c r="D23" s="6">
        <f t="shared" si="1"/>
        <v>109.3</v>
      </c>
      <c r="E23" s="79">
        <f t="shared" si="2"/>
        <v>3.1228571428571428</v>
      </c>
      <c r="F23" s="24">
        <v>0</v>
      </c>
      <c r="G23" s="25">
        <v>0</v>
      </c>
      <c r="H23" s="25">
        <v>2.5</v>
      </c>
      <c r="I23" s="26">
        <v>21.7</v>
      </c>
      <c r="J23" s="28">
        <f t="shared" si="3"/>
        <v>0.69142857142857139</v>
      </c>
      <c r="K23" s="29">
        <f t="shared" si="4"/>
        <v>0</v>
      </c>
      <c r="L23" s="30">
        <f t="shared" si="5"/>
        <v>0.10330578512396695</v>
      </c>
      <c r="M23" s="31">
        <f t="shared" si="6"/>
        <v>0.89669421487603307</v>
      </c>
      <c r="N23" s="2"/>
    </row>
    <row r="24" spans="1:24" s="101" customFormat="1" ht="18.75" x14ac:dyDescent="0.3">
      <c r="A24" s="32" t="s">
        <v>201</v>
      </c>
      <c r="B24" s="21">
        <v>140</v>
      </c>
      <c r="C24" s="23">
        <f t="shared" si="0"/>
        <v>0.30864197530864196</v>
      </c>
      <c r="D24" s="6">
        <f t="shared" si="1"/>
        <v>217</v>
      </c>
      <c r="E24" s="79">
        <f t="shared" si="2"/>
        <v>1.55</v>
      </c>
      <c r="F24" s="24">
        <v>0</v>
      </c>
      <c r="G24" s="25">
        <v>0</v>
      </c>
      <c r="H24" s="25">
        <v>5</v>
      </c>
      <c r="I24" s="26">
        <v>43</v>
      </c>
      <c r="J24" s="28">
        <f t="shared" si="3"/>
        <v>0.34285714285714286</v>
      </c>
      <c r="K24" s="29">
        <f t="shared" si="4"/>
        <v>0</v>
      </c>
      <c r="L24" s="30">
        <f t="shared" si="5"/>
        <v>0.10416666666666667</v>
      </c>
      <c r="M24" s="31">
        <f t="shared" si="6"/>
        <v>0.89583333333333337</v>
      </c>
      <c r="N24" s="100"/>
    </row>
    <row r="25" spans="1:24" s="8" customFormat="1" ht="18.75" x14ac:dyDescent="0.3">
      <c r="A25" s="32" t="s">
        <v>86</v>
      </c>
      <c r="B25" s="33">
        <v>31</v>
      </c>
      <c r="C25" s="23">
        <f t="shared" si="0"/>
        <v>6.8342151675485005E-2</v>
      </c>
      <c r="D25" s="6">
        <f t="shared" si="1"/>
        <v>148.19999999999999</v>
      </c>
      <c r="E25" s="79">
        <f t="shared" si="2"/>
        <v>4.7806451612903222</v>
      </c>
      <c r="F25" s="24">
        <v>11</v>
      </c>
      <c r="G25" s="25">
        <v>1.7</v>
      </c>
      <c r="H25" s="25">
        <v>11</v>
      </c>
      <c r="I25" s="26">
        <v>3</v>
      </c>
      <c r="J25" s="28">
        <f t="shared" si="3"/>
        <v>0.75161290322580643</v>
      </c>
      <c r="K25" s="29">
        <f t="shared" si="4"/>
        <v>0.39914163090128757</v>
      </c>
      <c r="L25" s="30">
        <f t="shared" si="5"/>
        <v>0.47210300429184548</v>
      </c>
      <c r="M25" s="31">
        <f t="shared" si="6"/>
        <v>0.12875536480686695</v>
      </c>
      <c r="N25" s="2"/>
    </row>
    <row r="26" spans="1:24" s="8" customFormat="1" ht="18.75" x14ac:dyDescent="0.3">
      <c r="A26" s="32" t="s">
        <v>44</v>
      </c>
      <c r="B26" s="33">
        <v>37.799999999999997</v>
      </c>
      <c r="C26" s="23">
        <f t="shared" si="0"/>
        <v>8.3333333333333329E-2</v>
      </c>
      <c r="D26" s="6">
        <f t="shared" si="1"/>
        <v>108</v>
      </c>
      <c r="E26" s="79">
        <f t="shared" si="2"/>
        <v>2.8571428571428572</v>
      </c>
      <c r="F26" s="24">
        <v>30</v>
      </c>
      <c r="G26" s="25">
        <v>4</v>
      </c>
      <c r="H26" s="25">
        <v>0</v>
      </c>
      <c r="I26" s="26">
        <v>1</v>
      </c>
      <c r="J26" s="28">
        <f t="shared" si="3"/>
        <v>0.7142857142857143</v>
      </c>
      <c r="K26" s="29">
        <f t="shared" si="4"/>
        <v>0.96296296296296291</v>
      </c>
      <c r="L26" s="30">
        <f t="shared" si="5"/>
        <v>0</v>
      </c>
      <c r="M26" s="31">
        <f t="shared" si="6"/>
        <v>3.7037037037037035E-2</v>
      </c>
      <c r="N26" s="2"/>
    </row>
    <row r="27" spans="1:24" s="8" customFormat="1" ht="19.5" thickBot="1" x14ac:dyDescent="0.35">
      <c r="A27" s="20" t="s">
        <v>91</v>
      </c>
      <c r="B27" s="21">
        <v>63</v>
      </c>
      <c r="C27" s="23">
        <f t="shared" si="0"/>
        <v>0.1388888888888889</v>
      </c>
      <c r="D27" s="6">
        <f t="shared" si="1"/>
        <v>149.5</v>
      </c>
      <c r="E27" s="79">
        <f t="shared" si="2"/>
        <v>2.373015873015873</v>
      </c>
      <c r="F27" s="24">
        <v>41</v>
      </c>
      <c r="G27" s="25">
        <v>20</v>
      </c>
      <c r="H27" s="25">
        <v>1.5</v>
      </c>
      <c r="I27" s="26">
        <v>13</v>
      </c>
      <c r="J27" s="28">
        <f t="shared" si="3"/>
        <v>0.56349206349206349</v>
      </c>
      <c r="K27" s="29">
        <f t="shared" si="4"/>
        <v>0.59154929577464788</v>
      </c>
      <c r="L27" s="30">
        <f t="shared" si="5"/>
        <v>4.2253521126760563E-2</v>
      </c>
      <c r="M27" s="31">
        <f t="shared" si="6"/>
        <v>0.36619718309859156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8" customFormat="1" ht="18.75" x14ac:dyDescent="0.3">
      <c r="A28" s="80" t="s">
        <v>43</v>
      </c>
      <c r="B28" s="9">
        <v>40</v>
      </c>
      <c r="C28" s="11">
        <f t="shared" si="0"/>
        <v>8.8183421516754845E-2</v>
      </c>
      <c r="D28" s="5">
        <f t="shared" si="1"/>
        <v>117</v>
      </c>
      <c r="E28" s="106">
        <f t="shared" si="2"/>
        <v>2.9249999999999998</v>
      </c>
      <c r="F28" s="12">
        <v>32</v>
      </c>
      <c r="G28" s="13">
        <v>6</v>
      </c>
      <c r="H28" s="13">
        <v>1</v>
      </c>
      <c r="I28" s="14">
        <v>1</v>
      </c>
      <c r="J28" s="16">
        <f t="shared" si="3"/>
        <v>0.7</v>
      </c>
      <c r="K28" s="17">
        <f t="shared" si="4"/>
        <v>0.9285714285714286</v>
      </c>
      <c r="L28" s="18">
        <f t="shared" si="5"/>
        <v>3.5714285714285712E-2</v>
      </c>
      <c r="M28" s="19">
        <f t="shared" si="6"/>
        <v>3.5714285714285712E-2</v>
      </c>
    </row>
    <row r="29" spans="1:24" s="8" customFormat="1" ht="18.75" x14ac:dyDescent="0.3">
      <c r="A29" s="20" t="s">
        <v>93</v>
      </c>
      <c r="B29" s="21">
        <v>30.2</v>
      </c>
      <c r="C29" s="23">
        <f t="shared" si="0"/>
        <v>6.6578483245149908E-2</v>
      </c>
      <c r="D29" s="6">
        <f t="shared" si="1"/>
        <v>44</v>
      </c>
      <c r="E29" s="79">
        <f t="shared" si="2"/>
        <v>1.4569536423841061</v>
      </c>
      <c r="F29" s="24">
        <v>11</v>
      </c>
      <c r="G29" s="25">
        <v>2</v>
      </c>
      <c r="H29" s="25">
        <v>0</v>
      </c>
      <c r="I29" s="26">
        <v>2</v>
      </c>
      <c r="J29" s="28">
        <f t="shared" si="3"/>
        <v>0.36423841059602652</v>
      </c>
      <c r="K29" s="29">
        <f t="shared" si="4"/>
        <v>0.81818181818181823</v>
      </c>
      <c r="L29" s="30">
        <f t="shared" si="5"/>
        <v>0</v>
      </c>
      <c r="M29" s="31">
        <f t="shared" si="6"/>
        <v>0.18181818181818182</v>
      </c>
    </row>
    <row r="30" spans="1:24" s="8" customFormat="1" ht="18.75" x14ac:dyDescent="0.3">
      <c r="A30" s="20" t="s">
        <v>131</v>
      </c>
      <c r="B30" s="21">
        <v>28</v>
      </c>
      <c r="C30" s="23">
        <f t="shared" si="0"/>
        <v>6.1728395061728392E-2</v>
      </c>
      <c r="D30" s="6">
        <f t="shared" si="1"/>
        <v>113</v>
      </c>
      <c r="E30" s="79">
        <f t="shared" si="2"/>
        <v>4.0357142857142856</v>
      </c>
      <c r="F30" s="24">
        <v>1</v>
      </c>
      <c r="G30" s="25">
        <v>0</v>
      </c>
      <c r="H30" s="25">
        <v>9</v>
      </c>
      <c r="I30" s="26">
        <v>7</v>
      </c>
      <c r="J30" s="28">
        <f t="shared" si="3"/>
        <v>0.6071428571428571</v>
      </c>
      <c r="K30" s="29">
        <f t="shared" si="4"/>
        <v>5.8823529411764705E-2</v>
      </c>
      <c r="L30" s="30">
        <f t="shared" si="5"/>
        <v>0.52941176470588236</v>
      </c>
      <c r="M30" s="31">
        <f t="shared" si="6"/>
        <v>0.41176470588235292</v>
      </c>
      <c r="N30" s="2"/>
    </row>
    <row r="31" spans="1:24" s="8" customFormat="1" ht="18.75" x14ac:dyDescent="0.3">
      <c r="A31" s="20" t="s">
        <v>10</v>
      </c>
      <c r="B31" s="21">
        <v>28</v>
      </c>
      <c r="C31" s="23">
        <f t="shared" si="0"/>
        <v>6.1728395061728392E-2</v>
      </c>
      <c r="D31" s="6">
        <f t="shared" si="1"/>
        <v>102</v>
      </c>
      <c r="E31" s="79">
        <f t="shared" si="2"/>
        <v>3.6428571428571428</v>
      </c>
      <c r="F31" s="24">
        <v>14</v>
      </c>
      <c r="G31" s="25">
        <v>3</v>
      </c>
      <c r="H31" s="25">
        <v>6</v>
      </c>
      <c r="I31" s="26">
        <v>1</v>
      </c>
      <c r="J31" s="28">
        <f t="shared" si="3"/>
        <v>0.6428571428571429</v>
      </c>
      <c r="K31" s="29">
        <f t="shared" si="4"/>
        <v>0.61111111111111116</v>
      </c>
      <c r="L31" s="30">
        <f t="shared" si="5"/>
        <v>0.33333333333333331</v>
      </c>
      <c r="M31" s="31">
        <f t="shared" si="6"/>
        <v>5.5555555555555552E-2</v>
      </c>
    </row>
    <row r="32" spans="1:24" s="8" customFormat="1" ht="18" customHeight="1" x14ac:dyDescent="0.3">
      <c r="A32" s="20" t="s">
        <v>6</v>
      </c>
      <c r="B32" s="21">
        <v>28</v>
      </c>
      <c r="C32" s="23">
        <f t="shared" si="0"/>
        <v>6.1728395061728392E-2</v>
      </c>
      <c r="D32" s="6">
        <f t="shared" si="1"/>
        <v>252</v>
      </c>
      <c r="E32" s="79">
        <f t="shared" si="2"/>
        <v>9</v>
      </c>
      <c r="F32" s="24">
        <v>0</v>
      </c>
      <c r="G32" s="25">
        <v>0</v>
      </c>
      <c r="H32" s="25">
        <v>28</v>
      </c>
      <c r="I32" s="26">
        <v>0</v>
      </c>
      <c r="J32" s="28">
        <f t="shared" si="3"/>
        <v>1</v>
      </c>
      <c r="K32" s="29">
        <f t="shared" si="4"/>
        <v>0</v>
      </c>
      <c r="L32" s="30">
        <f t="shared" si="5"/>
        <v>1</v>
      </c>
      <c r="M32" s="31">
        <f t="shared" si="6"/>
        <v>0</v>
      </c>
    </row>
    <row r="33" spans="1:24" s="8" customFormat="1" ht="18.75" x14ac:dyDescent="0.3">
      <c r="A33" s="20" t="s">
        <v>113</v>
      </c>
      <c r="B33" s="21">
        <v>27.1</v>
      </c>
      <c r="C33" s="23">
        <f t="shared" si="0"/>
        <v>5.9744268077601408E-2</v>
      </c>
      <c r="D33" s="6">
        <f t="shared" si="1"/>
        <v>149</v>
      </c>
      <c r="E33" s="79">
        <f t="shared" si="2"/>
        <v>5.4981549815498152</v>
      </c>
      <c r="F33" s="33">
        <v>16</v>
      </c>
      <c r="G33" s="34">
        <v>1</v>
      </c>
      <c r="H33" s="34">
        <v>9</v>
      </c>
      <c r="I33" s="35">
        <v>2</v>
      </c>
      <c r="J33" s="28">
        <f t="shared" si="3"/>
        <v>0.95940959409594095</v>
      </c>
      <c r="K33" s="29">
        <f t="shared" si="4"/>
        <v>0.57692307692307687</v>
      </c>
      <c r="L33" s="30">
        <f t="shared" si="5"/>
        <v>0.34615384615384615</v>
      </c>
      <c r="M33" s="31">
        <f t="shared" si="6"/>
        <v>7.6923076923076927E-2</v>
      </c>
    </row>
    <row r="34" spans="1:24" s="8" customFormat="1" ht="18.75" x14ac:dyDescent="0.3">
      <c r="A34" s="20" t="s">
        <v>147</v>
      </c>
      <c r="B34" s="21">
        <v>52</v>
      </c>
      <c r="C34" s="23">
        <f t="shared" ref="C34:C67" si="7">B34/453.6</f>
        <v>0.1146384479717813</v>
      </c>
      <c r="D34" s="6">
        <f t="shared" ref="D34:D67" si="8">(4*SUM(F34-G34,I34))+(9*H34)</f>
        <v>177</v>
      </c>
      <c r="E34" s="79">
        <f t="shared" ref="E34:E67" si="9">D34/B34</f>
        <v>3.4038461538461537</v>
      </c>
      <c r="F34" s="24">
        <v>43</v>
      </c>
      <c r="G34" s="25">
        <v>5</v>
      </c>
      <c r="H34" s="25">
        <v>1</v>
      </c>
      <c r="I34" s="26">
        <v>4</v>
      </c>
      <c r="J34" s="28">
        <f t="shared" ref="J34:J67" si="10">SUM(F34,-G34,H34,I34)/B34</f>
        <v>0.82692307692307687</v>
      </c>
      <c r="K34" s="29">
        <f t="shared" ref="K34:K67" si="11">(F34-G34)/SUM(F34-G34,H34:I34)</f>
        <v>0.88372093023255816</v>
      </c>
      <c r="L34" s="30">
        <f t="shared" ref="L34:L67" si="12">H34/SUM(F34,-G34,H34:I34)</f>
        <v>2.3255813953488372E-2</v>
      </c>
      <c r="M34" s="31">
        <f t="shared" ref="M34:M67" si="13">I34/SUM(F34-G34,,H34:I34)</f>
        <v>9.3023255813953487E-2</v>
      </c>
    </row>
    <row r="35" spans="1:24" s="8" customFormat="1" ht="18.75" x14ac:dyDescent="0.3">
      <c r="A35" s="20" t="s">
        <v>133</v>
      </c>
      <c r="B35" s="21">
        <v>14</v>
      </c>
      <c r="C35" s="23">
        <f t="shared" si="7"/>
        <v>3.0864197530864196E-2</v>
      </c>
      <c r="D35" s="6">
        <f t="shared" si="8"/>
        <v>44</v>
      </c>
      <c r="E35" s="79">
        <f t="shared" si="9"/>
        <v>3.1428571428571428</v>
      </c>
      <c r="F35" s="24">
        <v>12</v>
      </c>
      <c r="G35" s="25">
        <v>1</v>
      </c>
      <c r="H35" s="25">
        <v>0</v>
      </c>
      <c r="I35" s="26">
        <v>0</v>
      </c>
      <c r="J35" s="28">
        <f t="shared" si="10"/>
        <v>0.7857142857142857</v>
      </c>
      <c r="K35" s="29">
        <f t="shared" si="11"/>
        <v>1</v>
      </c>
      <c r="L35" s="30">
        <f t="shared" si="12"/>
        <v>0</v>
      </c>
      <c r="M35" s="31">
        <f t="shared" si="13"/>
        <v>0</v>
      </c>
      <c r="N35" s="2"/>
    </row>
    <row r="36" spans="1:24" s="8" customFormat="1" ht="18.75" x14ac:dyDescent="0.3">
      <c r="A36" s="20" t="s">
        <v>70</v>
      </c>
      <c r="B36" s="21">
        <v>104</v>
      </c>
      <c r="C36" s="23">
        <f t="shared" si="7"/>
        <v>0.2292768959435626</v>
      </c>
      <c r="D36" s="6">
        <f t="shared" si="8"/>
        <v>564</v>
      </c>
      <c r="E36" s="79">
        <f t="shared" si="9"/>
        <v>5.4230769230769234</v>
      </c>
      <c r="F36" s="24">
        <v>48</v>
      </c>
      <c r="G36" s="25">
        <v>4</v>
      </c>
      <c r="H36" s="25">
        <v>36</v>
      </c>
      <c r="I36" s="26">
        <v>16</v>
      </c>
      <c r="J36" s="28">
        <f t="shared" si="10"/>
        <v>0.92307692307692313</v>
      </c>
      <c r="K36" s="29">
        <f t="shared" si="11"/>
        <v>0.45833333333333331</v>
      </c>
      <c r="L36" s="30">
        <f t="shared" si="12"/>
        <v>0.375</v>
      </c>
      <c r="M36" s="31">
        <f t="shared" si="13"/>
        <v>0.16666666666666666</v>
      </c>
      <c r="N36" s="2"/>
    </row>
    <row r="37" spans="1:24" s="8" customFormat="1" ht="18.75" x14ac:dyDescent="0.3">
      <c r="A37" s="49" t="s">
        <v>142</v>
      </c>
      <c r="B37" s="50">
        <v>58</v>
      </c>
      <c r="C37" s="51">
        <f t="shared" si="7"/>
        <v>0.12786596119929453</v>
      </c>
      <c r="D37" s="61">
        <f t="shared" si="8"/>
        <v>165</v>
      </c>
      <c r="E37" s="107">
        <f t="shared" si="9"/>
        <v>2.8448275862068964</v>
      </c>
      <c r="F37" s="57">
        <v>27</v>
      </c>
      <c r="G37" s="58">
        <v>1</v>
      </c>
      <c r="H37" s="58">
        <v>5</v>
      </c>
      <c r="I37" s="59">
        <v>4</v>
      </c>
      <c r="J37" s="53">
        <f t="shared" si="10"/>
        <v>0.60344827586206895</v>
      </c>
      <c r="K37" s="54">
        <f t="shared" si="11"/>
        <v>0.74285714285714288</v>
      </c>
      <c r="L37" s="55">
        <f t="shared" si="12"/>
        <v>0.14285714285714285</v>
      </c>
      <c r="M37" s="56">
        <f t="shared" si="13"/>
        <v>0.11428571428571428</v>
      </c>
      <c r="N37" s="2"/>
    </row>
    <row r="38" spans="1:24" s="8" customFormat="1" ht="18.75" x14ac:dyDescent="0.3">
      <c r="A38" s="20" t="s">
        <v>132</v>
      </c>
      <c r="B38" s="21">
        <v>7</v>
      </c>
      <c r="C38" s="23">
        <f t="shared" si="7"/>
        <v>1.5432098765432098E-2</v>
      </c>
      <c r="D38" s="6">
        <f t="shared" si="8"/>
        <v>24</v>
      </c>
      <c r="E38" s="79">
        <f t="shared" si="9"/>
        <v>3.4285714285714284</v>
      </c>
      <c r="F38" s="24">
        <v>5</v>
      </c>
      <c r="G38" s="25">
        <v>0</v>
      </c>
      <c r="H38" s="25">
        <v>0</v>
      </c>
      <c r="I38" s="26">
        <v>1</v>
      </c>
      <c r="J38" s="28">
        <f t="shared" si="10"/>
        <v>0.8571428571428571</v>
      </c>
      <c r="K38" s="29">
        <f t="shared" si="11"/>
        <v>0.83333333333333337</v>
      </c>
      <c r="L38" s="30">
        <f t="shared" si="12"/>
        <v>0</v>
      </c>
      <c r="M38" s="31">
        <f t="shared" si="13"/>
        <v>0.16666666666666666</v>
      </c>
      <c r="N38" s="2"/>
    </row>
    <row r="39" spans="1:24" s="4" customFormat="1" ht="18.75" x14ac:dyDescent="0.3">
      <c r="A39" s="20" t="s">
        <v>165</v>
      </c>
      <c r="B39" s="21">
        <v>56</v>
      </c>
      <c r="C39" s="23">
        <f t="shared" si="7"/>
        <v>0.12345679012345678</v>
      </c>
      <c r="D39" s="6">
        <f t="shared" si="8"/>
        <v>218</v>
      </c>
      <c r="E39" s="79">
        <f t="shared" si="9"/>
        <v>3.8928571428571428</v>
      </c>
      <c r="F39" s="24">
        <v>0</v>
      </c>
      <c r="G39" s="25">
        <v>0</v>
      </c>
      <c r="H39" s="25">
        <v>18</v>
      </c>
      <c r="I39" s="26">
        <v>14</v>
      </c>
      <c r="J39" s="28">
        <f t="shared" si="10"/>
        <v>0.5714285714285714</v>
      </c>
      <c r="K39" s="29">
        <f t="shared" si="11"/>
        <v>0</v>
      </c>
      <c r="L39" s="30">
        <f t="shared" si="12"/>
        <v>0.5625</v>
      </c>
      <c r="M39" s="31">
        <f t="shared" si="13"/>
        <v>0.4375</v>
      </c>
      <c r="N39" s="2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8" customFormat="1" ht="18.75" x14ac:dyDescent="0.3">
      <c r="A40" s="20" t="s">
        <v>141</v>
      </c>
      <c r="B40" s="21">
        <v>57</v>
      </c>
      <c r="C40" s="23">
        <f t="shared" si="7"/>
        <v>0.12566137566137567</v>
      </c>
      <c r="D40" s="6">
        <f t="shared" si="8"/>
        <v>150</v>
      </c>
      <c r="E40" s="79">
        <f t="shared" si="9"/>
        <v>2.6315789473684212</v>
      </c>
      <c r="F40" s="24">
        <v>0</v>
      </c>
      <c r="G40" s="25">
        <v>0</v>
      </c>
      <c r="H40" s="25">
        <v>10</v>
      </c>
      <c r="I40" s="26">
        <v>15</v>
      </c>
      <c r="J40" s="28">
        <f t="shared" si="10"/>
        <v>0.43859649122807015</v>
      </c>
      <c r="K40" s="29">
        <f t="shared" si="11"/>
        <v>0</v>
      </c>
      <c r="L40" s="30">
        <f t="shared" si="12"/>
        <v>0.4</v>
      </c>
      <c r="M40" s="31">
        <f t="shared" si="13"/>
        <v>0.6</v>
      </c>
      <c r="N40" s="2"/>
    </row>
    <row r="41" spans="1:24" s="8" customFormat="1" ht="18.75" hidden="1" customHeight="1" x14ac:dyDescent="0.3">
      <c r="A41" s="32" t="s">
        <v>92</v>
      </c>
      <c r="B41" s="50">
        <v>63</v>
      </c>
      <c r="C41" s="51">
        <f t="shared" si="7"/>
        <v>0.1388888888888889</v>
      </c>
      <c r="D41" s="61">
        <f t="shared" si="8"/>
        <v>165.5</v>
      </c>
      <c r="E41" s="107">
        <f t="shared" si="9"/>
        <v>2.626984126984127</v>
      </c>
      <c r="F41" s="57">
        <v>39</v>
      </c>
      <c r="G41" s="58">
        <v>14</v>
      </c>
      <c r="H41" s="58">
        <v>1.5</v>
      </c>
      <c r="I41" s="59">
        <v>13</v>
      </c>
      <c r="J41" s="53">
        <f t="shared" si="10"/>
        <v>0.62698412698412698</v>
      </c>
      <c r="K41" s="54">
        <f t="shared" si="11"/>
        <v>0.63291139240506333</v>
      </c>
      <c r="L41" s="55">
        <f t="shared" si="12"/>
        <v>3.7974683544303799E-2</v>
      </c>
      <c r="M41" s="56">
        <f t="shared" si="13"/>
        <v>0.32911392405063289</v>
      </c>
    </row>
    <row r="42" spans="1:24" s="8" customFormat="1" ht="18.75" customHeight="1" x14ac:dyDescent="0.3">
      <c r="A42" s="20" t="s">
        <v>210</v>
      </c>
      <c r="B42" s="50">
        <v>79</v>
      </c>
      <c r="C42" s="51">
        <f t="shared" si="7"/>
        <v>0.17416225749559083</v>
      </c>
      <c r="D42" s="61">
        <v>410</v>
      </c>
      <c r="E42" s="79">
        <f t="shared" ref="E42" si="14">D42/B42</f>
        <v>5.1898734177215191</v>
      </c>
      <c r="F42" s="24">
        <v>49</v>
      </c>
      <c r="G42" s="25">
        <v>1</v>
      </c>
      <c r="H42" s="25">
        <v>14</v>
      </c>
      <c r="I42" s="26">
        <v>2</v>
      </c>
      <c r="J42" s="28">
        <f t="shared" ref="J42" si="15">SUM(F42,-G42,H42,I42)/B42</f>
        <v>0.810126582278481</v>
      </c>
      <c r="K42" s="29">
        <f t="shared" ref="K42" si="16">(F42-G42)/SUM(F42-G42,H42:I42)</f>
        <v>0.75</v>
      </c>
      <c r="L42" s="30">
        <f t="shared" ref="L42" si="17">H42/SUM(F42,-G42,H42:I42)</f>
        <v>0.21875</v>
      </c>
      <c r="M42" s="31">
        <f t="shared" ref="M42" si="18">I42/SUM(F42-G42,,H42:I42)</f>
        <v>3.125E-2</v>
      </c>
    </row>
    <row r="43" spans="1:24" s="4" customFormat="1" ht="18.75" x14ac:dyDescent="0.3">
      <c r="A43" s="20" t="s">
        <v>151</v>
      </c>
      <c r="B43" s="21">
        <f>B35/2+28</f>
        <v>35</v>
      </c>
      <c r="C43" s="23">
        <f t="shared" si="7"/>
        <v>7.716049382716049E-2</v>
      </c>
      <c r="D43" s="6">
        <f t="shared" si="8"/>
        <v>127.5</v>
      </c>
      <c r="E43" s="79">
        <f t="shared" si="9"/>
        <v>3.6428571428571428</v>
      </c>
      <c r="F43" s="24">
        <f>F35/2+22</f>
        <v>28</v>
      </c>
      <c r="G43" s="25">
        <f>G35/2+2</f>
        <v>2.5</v>
      </c>
      <c r="H43" s="25">
        <f>H35/2+1.5</f>
        <v>1.5</v>
      </c>
      <c r="I43" s="26">
        <f>I35/2+3</f>
        <v>3</v>
      </c>
      <c r="J43" s="28">
        <f t="shared" si="10"/>
        <v>0.8571428571428571</v>
      </c>
      <c r="K43" s="29">
        <f t="shared" si="11"/>
        <v>0.85</v>
      </c>
      <c r="L43" s="30">
        <f t="shared" si="12"/>
        <v>0.05</v>
      </c>
      <c r="M43" s="31">
        <f t="shared" si="13"/>
        <v>0.1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s="4" customFormat="1" ht="18.75" x14ac:dyDescent="0.3">
      <c r="A44" s="20" t="s">
        <v>134</v>
      </c>
      <c r="B44" s="21">
        <v>26.4</v>
      </c>
      <c r="C44" s="23">
        <f t="shared" si="7"/>
        <v>5.8201058201058198E-2</v>
      </c>
      <c r="D44" s="6">
        <f t="shared" si="8"/>
        <v>94</v>
      </c>
      <c r="E44" s="79">
        <f t="shared" si="9"/>
        <v>3.560606060606061</v>
      </c>
      <c r="F44" s="24">
        <v>10</v>
      </c>
      <c r="G44" s="25">
        <v>2</v>
      </c>
      <c r="H44" s="25">
        <v>6</v>
      </c>
      <c r="I44" s="26">
        <v>2</v>
      </c>
      <c r="J44" s="28">
        <f t="shared" si="10"/>
        <v>0.60606060606060608</v>
      </c>
      <c r="K44" s="29">
        <f t="shared" si="11"/>
        <v>0.5</v>
      </c>
      <c r="L44" s="30">
        <f t="shared" si="12"/>
        <v>0.375</v>
      </c>
      <c r="M44" s="31">
        <f t="shared" si="13"/>
        <v>0.125</v>
      </c>
      <c r="N44" s="2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s="8" customFormat="1" ht="18.75" x14ac:dyDescent="0.3">
      <c r="A45" s="36" t="s">
        <v>139</v>
      </c>
      <c r="B45" s="21">
        <v>24</v>
      </c>
      <c r="C45" s="23">
        <f t="shared" si="7"/>
        <v>5.2910052910052907E-2</v>
      </c>
      <c r="D45" s="6">
        <f t="shared" si="8"/>
        <v>96</v>
      </c>
      <c r="E45" s="79">
        <f t="shared" si="9"/>
        <v>4</v>
      </c>
      <c r="F45" s="24">
        <v>24</v>
      </c>
      <c r="G45" s="25">
        <v>0</v>
      </c>
      <c r="H45" s="25">
        <v>0</v>
      </c>
      <c r="I45" s="26">
        <v>0</v>
      </c>
      <c r="J45" s="28">
        <f t="shared" si="10"/>
        <v>1</v>
      </c>
      <c r="K45" s="29">
        <f t="shared" si="11"/>
        <v>1</v>
      </c>
      <c r="L45" s="30">
        <f t="shared" si="12"/>
        <v>0</v>
      </c>
      <c r="M45" s="31">
        <f t="shared" si="13"/>
        <v>0</v>
      </c>
      <c r="N45" s="2"/>
    </row>
    <row r="46" spans="1:24" s="8" customFormat="1" ht="18.75" x14ac:dyDescent="0.3">
      <c r="A46" s="20" t="s">
        <v>153</v>
      </c>
      <c r="B46" s="21">
        <v>17</v>
      </c>
      <c r="C46" s="23">
        <f t="shared" si="7"/>
        <v>3.7477954144620809E-2</v>
      </c>
      <c r="D46" s="6">
        <f t="shared" si="8"/>
        <v>67.8</v>
      </c>
      <c r="E46" s="79">
        <f t="shared" si="9"/>
        <v>3.9882352941176471</v>
      </c>
      <c r="F46" s="24">
        <v>11.7</v>
      </c>
      <c r="G46" s="25">
        <v>0.5</v>
      </c>
      <c r="H46" s="25">
        <v>2.2000000000000002</v>
      </c>
      <c r="I46" s="26">
        <v>0.8</v>
      </c>
      <c r="J46" s="28">
        <f t="shared" si="10"/>
        <v>0.83529411764705874</v>
      </c>
      <c r="K46" s="29">
        <f t="shared" si="11"/>
        <v>0.78873239436619713</v>
      </c>
      <c r="L46" s="30">
        <f t="shared" si="12"/>
        <v>0.15492957746478875</v>
      </c>
      <c r="M46" s="31">
        <f t="shared" si="13"/>
        <v>5.6338028169014093E-2</v>
      </c>
      <c r="N46" s="2"/>
    </row>
    <row r="47" spans="1:24" s="8" customFormat="1" ht="18.75" x14ac:dyDescent="0.3">
      <c r="A47" s="90" t="s">
        <v>130</v>
      </c>
      <c r="B47" s="21">
        <v>35</v>
      </c>
      <c r="C47" s="23">
        <f t="shared" si="7"/>
        <v>7.716049382716049E-2</v>
      </c>
      <c r="D47" s="6">
        <f t="shared" si="8"/>
        <v>122.7</v>
      </c>
      <c r="E47" s="79">
        <f t="shared" si="9"/>
        <v>3.5057142857142858</v>
      </c>
      <c r="F47" s="24">
        <v>27.3</v>
      </c>
      <c r="G47" s="25">
        <v>2.8</v>
      </c>
      <c r="H47" s="25">
        <v>1.5</v>
      </c>
      <c r="I47" s="26">
        <v>2.8</v>
      </c>
      <c r="J47" s="71">
        <f t="shared" si="10"/>
        <v>0.82285714285714284</v>
      </c>
      <c r="K47" s="29">
        <f t="shared" si="11"/>
        <v>0.85069444444444442</v>
      </c>
      <c r="L47" s="30">
        <f t="shared" si="12"/>
        <v>5.2083333333333329E-2</v>
      </c>
      <c r="M47" s="31">
        <f t="shared" si="13"/>
        <v>9.722222222222221E-2</v>
      </c>
      <c r="N47" s="2"/>
    </row>
    <row r="48" spans="1:24" s="8" customFormat="1" ht="18" customHeight="1" x14ac:dyDescent="0.3">
      <c r="A48" s="20" t="s">
        <v>140</v>
      </c>
      <c r="B48" s="21">
        <v>25.5</v>
      </c>
      <c r="C48" s="60">
        <f t="shared" si="7"/>
        <v>5.6216931216931214E-2</v>
      </c>
      <c r="D48" s="6">
        <f t="shared" si="8"/>
        <v>86</v>
      </c>
      <c r="E48" s="79">
        <f t="shared" si="9"/>
        <v>3.3725490196078431</v>
      </c>
      <c r="F48" s="24">
        <v>17</v>
      </c>
      <c r="G48" s="25">
        <v>2</v>
      </c>
      <c r="H48" s="25">
        <v>2</v>
      </c>
      <c r="I48" s="26">
        <v>2</v>
      </c>
      <c r="J48" s="28">
        <f t="shared" si="10"/>
        <v>0.74509803921568629</v>
      </c>
      <c r="K48" s="29">
        <f t="shared" si="11"/>
        <v>0.78947368421052633</v>
      </c>
      <c r="L48" s="30">
        <f t="shared" si="12"/>
        <v>0.10526315789473684</v>
      </c>
      <c r="M48" s="31">
        <f t="shared" si="13"/>
        <v>0.10526315789473684</v>
      </c>
      <c r="N48" s="102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8" customFormat="1" ht="18.75" customHeight="1" x14ac:dyDescent="0.3">
      <c r="A49" s="90" t="s">
        <v>138</v>
      </c>
      <c r="B49" s="33">
        <v>29.8</v>
      </c>
      <c r="C49" s="23">
        <f t="shared" si="7"/>
        <v>6.569664902998236E-2</v>
      </c>
      <c r="D49" s="6">
        <f t="shared" si="8"/>
        <v>121</v>
      </c>
      <c r="E49" s="79">
        <f t="shared" si="9"/>
        <v>4.0604026845637584</v>
      </c>
      <c r="F49" s="24">
        <v>28</v>
      </c>
      <c r="G49" s="25">
        <v>0</v>
      </c>
      <c r="H49" s="25">
        <v>1</v>
      </c>
      <c r="I49" s="26">
        <v>0</v>
      </c>
      <c r="J49" s="71">
        <f t="shared" si="10"/>
        <v>0.97315436241610731</v>
      </c>
      <c r="K49" s="29">
        <f t="shared" si="11"/>
        <v>0.96551724137931039</v>
      </c>
      <c r="L49" s="30">
        <f t="shared" si="12"/>
        <v>3.4482758620689655E-2</v>
      </c>
      <c r="M49" s="31">
        <f t="shared" si="13"/>
        <v>0</v>
      </c>
      <c r="N49" s="2"/>
    </row>
    <row r="50" spans="1:24" s="8" customFormat="1" ht="18.75" customHeight="1" x14ac:dyDescent="0.3">
      <c r="A50" s="89" t="s">
        <v>137</v>
      </c>
      <c r="B50" s="91">
        <v>49.6</v>
      </c>
      <c r="C50" s="93">
        <f t="shared" si="7"/>
        <v>0.10934744268077601</v>
      </c>
      <c r="D50" s="61">
        <f t="shared" si="8"/>
        <v>165.5</v>
      </c>
      <c r="E50" s="107">
        <f t="shared" si="9"/>
        <v>3.3366935483870965</v>
      </c>
      <c r="F50" s="57">
        <v>36</v>
      </c>
      <c r="G50" s="58">
        <v>2</v>
      </c>
      <c r="H50" s="58">
        <v>1.5</v>
      </c>
      <c r="I50" s="96">
        <v>4</v>
      </c>
      <c r="J50" s="53">
        <f t="shared" si="10"/>
        <v>0.7963709677419355</v>
      </c>
      <c r="K50" s="54">
        <f t="shared" si="11"/>
        <v>0.86075949367088611</v>
      </c>
      <c r="L50" s="55">
        <f t="shared" si="12"/>
        <v>3.7974683544303799E-2</v>
      </c>
      <c r="M50" s="56">
        <f t="shared" si="13"/>
        <v>0.10126582278481013</v>
      </c>
      <c r="N50" s="2"/>
    </row>
    <row r="51" spans="1:24" s="8" customFormat="1" ht="18.75" x14ac:dyDescent="0.3">
      <c r="A51" s="32" t="s">
        <v>196</v>
      </c>
      <c r="B51" s="33">
        <v>47</v>
      </c>
      <c r="C51" s="23">
        <f t="shared" si="7"/>
        <v>0.10361552028218694</v>
      </c>
      <c r="D51" s="6">
        <f t="shared" si="8"/>
        <v>143.19999999999999</v>
      </c>
      <c r="E51" s="79">
        <f t="shared" si="9"/>
        <v>3.0468085106382978</v>
      </c>
      <c r="F51" s="24">
        <v>28</v>
      </c>
      <c r="G51" s="25">
        <v>7</v>
      </c>
      <c r="H51" s="25">
        <v>0.8</v>
      </c>
      <c r="I51" s="26">
        <v>13</v>
      </c>
      <c r="J51" s="28">
        <f t="shared" si="10"/>
        <v>0.74042553191489358</v>
      </c>
      <c r="K51" s="29">
        <f t="shared" si="11"/>
        <v>0.60344827586206906</v>
      </c>
      <c r="L51" s="30">
        <f t="shared" si="12"/>
        <v>2.298850574712644E-2</v>
      </c>
      <c r="M51" s="31">
        <f t="shared" si="13"/>
        <v>0.37356321839080464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s="8" customFormat="1" ht="18.75" x14ac:dyDescent="0.3">
      <c r="A52" s="32" t="s">
        <v>67</v>
      </c>
      <c r="B52" s="33">
        <v>48</v>
      </c>
      <c r="C52" s="23">
        <f t="shared" si="7"/>
        <v>0.10582010582010581</v>
      </c>
      <c r="D52" s="6">
        <f t="shared" si="8"/>
        <v>187</v>
      </c>
      <c r="E52" s="79">
        <f t="shared" si="9"/>
        <v>3.8958333333333335</v>
      </c>
      <c r="F52" s="24">
        <v>25</v>
      </c>
      <c r="G52" s="24">
        <v>3</v>
      </c>
      <c r="H52" s="24">
        <v>7</v>
      </c>
      <c r="I52" s="95">
        <v>9</v>
      </c>
      <c r="J52" s="28">
        <f t="shared" si="10"/>
        <v>0.79166666666666663</v>
      </c>
      <c r="K52" s="29">
        <f t="shared" si="11"/>
        <v>0.57894736842105265</v>
      </c>
      <c r="L52" s="30">
        <f t="shared" si="12"/>
        <v>0.18421052631578946</v>
      </c>
      <c r="M52" s="31">
        <f t="shared" si="13"/>
        <v>0.23684210526315788</v>
      </c>
    </row>
    <row r="53" spans="1:24" s="8" customFormat="1" ht="18.75" x14ac:dyDescent="0.3">
      <c r="A53" s="32" t="s">
        <v>126</v>
      </c>
      <c r="B53" s="33">
        <v>28.3</v>
      </c>
      <c r="C53" s="23">
        <f t="shared" si="7"/>
        <v>6.2389770723104053E-2</v>
      </c>
      <c r="D53" s="6">
        <f t="shared" si="8"/>
        <v>207.5</v>
      </c>
      <c r="E53" s="79">
        <f t="shared" si="9"/>
        <v>7.3321554770318018</v>
      </c>
      <c r="F53" s="24">
        <v>3.6</v>
      </c>
      <c r="G53" s="24">
        <v>2.2999999999999998</v>
      </c>
      <c r="H53" s="24">
        <v>21.5</v>
      </c>
      <c r="I53" s="24">
        <v>2.2000000000000002</v>
      </c>
      <c r="J53" s="71">
        <f t="shared" si="10"/>
        <v>0.88339222614840984</v>
      </c>
      <c r="K53" s="29">
        <f t="shared" si="11"/>
        <v>5.2000000000000011E-2</v>
      </c>
      <c r="L53" s="30">
        <f t="shared" si="12"/>
        <v>0.86</v>
      </c>
      <c r="M53" s="31">
        <f t="shared" si="13"/>
        <v>8.8000000000000009E-2</v>
      </c>
      <c r="N53" s="2"/>
    </row>
    <row r="54" spans="1:24" s="8" customFormat="1" ht="18.75" x14ac:dyDescent="0.3">
      <c r="A54" s="32" t="s">
        <v>7</v>
      </c>
      <c r="B54" s="33">
        <v>56</v>
      </c>
      <c r="C54" s="23">
        <f t="shared" si="7"/>
        <v>0.12345679012345678</v>
      </c>
      <c r="D54" s="6">
        <f t="shared" si="8"/>
        <v>326</v>
      </c>
      <c r="E54" s="79">
        <f t="shared" si="9"/>
        <v>5.8214285714285712</v>
      </c>
      <c r="F54" s="24">
        <v>10</v>
      </c>
      <c r="G54" s="25">
        <v>6</v>
      </c>
      <c r="H54" s="25">
        <v>30</v>
      </c>
      <c r="I54" s="26">
        <v>10</v>
      </c>
      <c r="J54" s="28">
        <f t="shared" si="10"/>
        <v>0.7857142857142857</v>
      </c>
      <c r="K54" s="29">
        <f t="shared" si="11"/>
        <v>9.0909090909090912E-2</v>
      </c>
      <c r="L54" s="30">
        <f t="shared" si="12"/>
        <v>0.68181818181818177</v>
      </c>
      <c r="M54" s="31">
        <f t="shared" si="13"/>
        <v>0.22727272727272727</v>
      </c>
    </row>
    <row r="55" spans="1:24" s="8" customFormat="1" ht="37.5" x14ac:dyDescent="0.3">
      <c r="A55" s="90" t="s">
        <v>65</v>
      </c>
      <c r="B55" s="33">
        <v>72.015877516302808</v>
      </c>
      <c r="C55" s="23">
        <f t="shared" si="7"/>
        <v>0.15876516207297797</v>
      </c>
      <c r="D55" s="6">
        <f t="shared" si="8"/>
        <v>372</v>
      </c>
      <c r="E55" s="79">
        <f t="shared" si="9"/>
        <v>5.1655275590551177</v>
      </c>
      <c r="F55" s="24">
        <v>16</v>
      </c>
      <c r="G55" s="25">
        <v>0</v>
      </c>
      <c r="H55" s="25">
        <v>20</v>
      </c>
      <c r="I55" s="26">
        <v>32</v>
      </c>
      <c r="J55" s="28">
        <f t="shared" si="10"/>
        <v>0.94423622047244093</v>
      </c>
      <c r="K55" s="29">
        <f t="shared" si="11"/>
        <v>0.23529411764705882</v>
      </c>
      <c r="L55" s="30">
        <f t="shared" si="12"/>
        <v>0.29411764705882354</v>
      </c>
      <c r="M55" s="31">
        <f t="shared" si="13"/>
        <v>0.47058823529411764</v>
      </c>
      <c r="N55" s="2"/>
    </row>
    <row r="56" spans="1:24" s="8" customFormat="1" ht="18.75" x14ac:dyDescent="0.3">
      <c r="A56" s="32" t="s">
        <v>90</v>
      </c>
      <c r="B56" s="33">
        <v>126</v>
      </c>
      <c r="C56" s="23">
        <f t="shared" si="7"/>
        <v>0.27777777777777779</v>
      </c>
      <c r="D56" s="6">
        <f t="shared" si="8"/>
        <v>362</v>
      </c>
      <c r="E56" s="79">
        <f t="shared" si="9"/>
        <v>2.873015873015873</v>
      </c>
      <c r="F56" s="24">
        <v>58</v>
      </c>
      <c r="G56" s="25">
        <v>2</v>
      </c>
      <c r="H56" s="25">
        <v>10</v>
      </c>
      <c r="I56" s="26">
        <v>12</v>
      </c>
      <c r="J56" s="28">
        <f t="shared" si="10"/>
        <v>0.61904761904761907</v>
      </c>
      <c r="K56" s="29">
        <f t="shared" si="11"/>
        <v>0.71794871794871795</v>
      </c>
      <c r="L56" s="30">
        <f t="shared" si="12"/>
        <v>0.12820512820512819</v>
      </c>
      <c r="M56" s="31">
        <f t="shared" si="13"/>
        <v>0.15384615384615385</v>
      </c>
      <c r="N56" s="2"/>
    </row>
    <row r="57" spans="1:24" s="4" customFormat="1" ht="21" customHeight="1" x14ac:dyDescent="0.3">
      <c r="A57" s="32" t="s">
        <v>202</v>
      </c>
      <c r="B57" s="33">
        <v>18</v>
      </c>
      <c r="C57" s="23">
        <f t="shared" si="7"/>
        <v>3.968253968253968E-2</v>
      </c>
      <c r="D57" s="6">
        <f t="shared" si="8"/>
        <v>91.5</v>
      </c>
      <c r="E57" s="79">
        <f t="shared" si="9"/>
        <v>5.083333333333333</v>
      </c>
      <c r="F57" s="24">
        <v>10.5</v>
      </c>
      <c r="G57" s="25">
        <v>1</v>
      </c>
      <c r="H57" s="25">
        <v>5.5</v>
      </c>
      <c r="I57" s="26">
        <v>1</v>
      </c>
      <c r="J57" s="28">
        <f t="shared" si="10"/>
        <v>0.88888888888888884</v>
      </c>
      <c r="K57" s="29">
        <f t="shared" si="11"/>
        <v>0.59375</v>
      </c>
      <c r="L57" s="30">
        <f t="shared" si="12"/>
        <v>0.34375</v>
      </c>
      <c r="M57" s="31">
        <f t="shared" si="13"/>
        <v>6.25E-2</v>
      </c>
      <c r="N57" s="2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s="8" customFormat="1" ht="37.5" x14ac:dyDescent="0.3">
      <c r="A58" s="36" t="s">
        <v>123</v>
      </c>
      <c r="B58" s="21">
        <v>175.8</v>
      </c>
      <c r="C58" s="23">
        <f t="shared" si="7"/>
        <v>0.38756613756613756</v>
      </c>
      <c r="D58" s="6">
        <f t="shared" si="8"/>
        <v>1114.0999999999999</v>
      </c>
      <c r="E58" s="79">
        <f t="shared" si="9"/>
        <v>6.337315130830488</v>
      </c>
      <c r="F58" s="33">
        <v>36.799999999999997</v>
      </c>
      <c r="G58" s="34">
        <v>11.1</v>
      </c>
      <c r="H58" s="34">
        <v>100.1</v>
      </c>
      <c r="I58" s="35">
        <v>27.6</v>
      </c>
      <c r="J58" s="71">
        <f t="shared" si="10"/>
        <v>0.87258248009101236</v>
      </c>
      <c r="K58" s="103">
        <f t="shared" si="11"/>
        <v>0.16753585397653195</v>
      </c>
      <c r="L58" s="30">
        <f t="shared" si="12"/>
        <v>0.65254237288135597</v>
      </c>
      <c r="M58" s="31">
        <f t="shared" si="13"/>
        <v>0.17992177314211216</v>
      </c>
      <c r="N58" s="2"/>
    </row>
    <row r="59" spans="1:24" s="4" customFormat="1" ht="18.75" x14ac:dyDescent="0.3">
      <c r="A59" s="36" t="s">
        <v>159</v>
      </c>
      <c r="B59" s="6">
        <v>100</v>
      </c>
      <c r="C59" s="23">
        <f>B59/453.6</f>
        <v>0.22045855379188711</v>
      </c>
      <c r="D59" s="6">
        <v>375</v>
      </c>
      <c r="E59" s="79">
        <f t="shared" si="9"/>
        <v>3.75</v>
      </c>
      <c r="F59" s="34">
        <v>64</v>
      </c>
      <c r="G59" s="34">
        <v>6</v>
      </c>
      <c r="H59" s="35">
        <v>4</v>
      </c>
      <c r="I59" s="27">
        <v>8</v>
      </c>
      <c r="J59" s="71">
        <f t="shared" ref="J59" si="19">SUM(F59,-G59,H59,I59)/B59</f>
        <v>0.7</v>
      </c>
      <c r="K59" s="103">
        <f t="shared" ref="K59" si="20">(F59-G59)/SUM(F59-G59,H59:I59)</f>
        <v>0.82857142857142863</v>
      </c>
      <c r="L59" s="30">
        <f t="shared" ref="L59" si="21">H59/SUM(F59,-G59,H59:I59)</f>
        <v>5.7142857142857141E-2</v>
      </c>
      <c r="M59" s="31">
        <f t="shared" ref="M59" si="22">I59/SUM(F59-G59,,H59:I59)</f>
        <v>0.11428571428571428</v>
      </c>
      <c r="N59" s="2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s="8" customFormat="1" ht="18.75" x14ac:dyDescent="0.3">
      <c r="A60" s="32" t="s">
        <v>8</v>
      </c>
      <c r="B60" s="33">
        <v>30</v>
      </c>
      <c r="C60" s="60">
        <f t="shared" si="7"/>
        <v>6.6137566137566134E-2</v>
      </c>
      <c r="D60" s="6">
        <f t="shared" si="8"/>
        <v>110</v>
      </c>
      <c r="E60" s="79">
        <f t="shared" si="9"/>
        <v>3.6666666666666665</v>
      </c>
      <c r="F60" s="24">
        <v>0</v>
      </c>
      <c r="G60" s="25">
        <v>0</v>
      </c>
      <c r="H60" s="25">
        <v>10</v>
      </c>
      <c r="I60" s="26">
        <v>5</v>
      </c>
      <c r="J60" s="28">
        <f t="shared" si="10"/>
        <v>0.5</v>
      </c>
      <c r="K60" s="29">
        <f t="shared" si="11"/>
        <v>0</v>
      </c>
      <c r="L60" s="30">
        <f t="shared" si="12"/>
        <v>0.66666666666666663</v>
      </c>
      <c r="M60" s="31">
        <f t="shared" si="13"/>
        <v>0.33333333333333331</v>
      </c>
      <c r="N60" s="2"/>
    </row>
    <row r="61" spans="1:24" s="8" customFormat="1" ht="18.75" x14ac:dyDescent="0.3">
      <c r="A61" s="20" t="s">
        <v>115</v>
      </c>
      <c r="B61" s="21">
        <v>59</v>
      </c>
      <c r="C61" s="23">
        <f t="shared" si="7"/>
        <v>0.13007054673721341</v>
      </c>
      <c r="D61" s="6">
        <f t="shared" si="8"/>
        <v>134</v>
      </c>
      <c r="E61" s="79">
        <f t="shared" si="9"/>
        <v>2.2711864406779663</v>
      </c>
      <c r="F61" s="24">
        <v>27</v>
      </c>
      <c r="G61" s="25">
        <v>4</v>
      </c>
      <c r="H61" s="25">
        <v>2</v>
      </c>
      <c r="I61" s="26">
        <v>6</v>
      </c>
      <c r="J61" s="71">
        <f t="shared" si="10"/>
        <v>0.52542372881355937</v>
      </c>
      <c r="K61" s="103">
        <f t="shared" si="11"/>
        <v>0.74193548387096775</v>
      </c>
      <c r="L61" s="30">
        <f t="shared" si="12"/>
        <v>6.4516129032258063E-2</v>
      </c>
      <c r="M61" s="31">
        <f t="shared" si="13"/>
        <v>0.19354838709677419</v>
      </c>
    </row>
    <row r="62" spans="1:24" s="8" customFormat="1" ht="18.75" x14ac:dyDescent="0.3">
      <c r="A62" s="32" t="s">
        <v>89</v>
      </c>
      <c r="B62" s="33">
        <v>28</v>
      </c>
      <c r="C62" s="23">
        <f t="shared" si="7"/>
        <v>6.1728395061728392E-2</v>
      </c>
      <c r="D62" s="6">
        <f t="shared" si="8"/>
        <v>103</v>
      </c>
      <c r="E62" s="79">
        <f t="shared" si="9"/>
        <v>3.6785714285714284</v>
      </c>
      <c r="F62" s="24">
        <v>1</v>
      </c>
      <c r="G62" s="25">
        <v>0</v>
      </c>
      <c r="H62" s="25">
        <v>7</v>
      </c>
      <c r="I62" s="26">
        <v>9</v>
      </c>
      <c r="J62" s="28">
        <f t="shared" si="10"/>
        <v>0.6071428571428571</v>
      </c>
      <c r="K62" s="29">
        <f t="shared" si="11"/>
        <v>5.8823529411764705E-2</v>
      </c>
      <c r="L62" s="30">
        <f t="shared" si="12"/>
        <v>0.41176470588235292</v>
      </c>
      <c r="M62" s="31">
        <f t="shared" si="13"/>
        <v>0.52941176470588236</v>
      </c>
      <c r="N62" s="2"/>
    </row>
    <row r="63" spans="1:24" s="8" customFormat="1" ht="18.75" x14ac:dyDescent="0.3">
      <c r="A63" s="32" t="s">
        <v>109</v>
      </c>
      <c r="B63" s="33">
        <v>5</v>
      </c>
      <c r="C63" s="23">
        <f t="shared" si="7"/>
        <v>1.1022927689594356E-2</v>
      </c>
      <c r="D63" s="6">
        <f t="shared" si="8"/>
        <v>21</v>
      </c>
      <c r="E63" s="79">
        <f t="shared" si="9"/>
        <v>4.2</v>
      </c>
      <c r="F63" s="24">
        <v>0.2</v>
      </c>
      <c r="G63" s="25">
        <v>0</v>
      </c>
      <c r="H63" s="25">
        <v>1.4</v>
      </c>
      <c r="I63" s="26">
        <v>1.9</v>
      </c>
      <c r="J63" s="28">
        <f t="shared" si="10"/>
        <v>0.7</v>
      </c>
      <c r="K63" s="29">
        <f t="shared" si="11"/>
        <v>5.7142857142857148E-2</v>
      </c>
      <c r="L63" s="30">
        <f t="shared" si="12"/>
        <v>0.39999999999999997</v>
      </c>
      <c r="M63" s="31">
        <f t="shared" si="13"/>
        <v>0.54285714285714282</v>
      </c>
    </row>
    <row r="64" spans="1:24" s="4" customFormat="1" ht="18.75" x14ac:dyDescent="0.3">
      <c r="A64" s="20" t="s">
        <v>223</v>
      </c>
      <c r="B64" s="6">
        <v>152</v>
      </c>
      <c r="C64" s="23">
        <f>B64/453.6</f>
        <v>0.33509700176366841</v>
      </c>
      <c r="D64" s="6">
        <v>850</v>
      </c>
      <c r="E64" s="79">
        <f t="shared" si="9"/>
        <v>5.5921052631578947</v>
      </c>
      <c r="F64" s="25">
        <v>6</v>
      </c>
      <c r="G64" s="25">
        <v>44</v>
      </c>
      <c r="H64" s="26">
        <v>44</v>
      </c>
      <c r="I64" s="79">
        <f>D64/B64</f>
        <v>5.5921052631578947</v>
      </c>
      <c r="J64" s="53">
        <f>SUM(E64-F64,G64,H64)/B64</f>
        <v>0.57626385041551242</v>
      </c>
      <c r="K64" s="29">
        <f>(E64-F64)/SUM(E64-F64,G64:H64)</f>
        <v>-4.6567522908216924E-3</v>
      </c>
      <c r="L64" s="30">
        <f>G64/SUM(E64,-F64,G64:H64)</f>
        <v>0.50232837614541093</v>
      </c>
      <c r="M64" s="31">
        <f>H64/SUM(E64-F64,,G64:H64)</f>
        <v>0.50232837614541093</v>
      </c>
    </row>
    <row r="65" spans="1:14" s="8" customFormat="1" ht="18.75" x14ac:dyDescent="0.3">
      <c r="A65" s="32" t="s">
        <v>69</v>
      </c>
      <c r="B65" s="33">
        <v>58</v>
      </c>
      <c r="C65" s="23">
        <f t="shared" si="7"/>
        <v>0.12786596119929453</v>
      </c>
      <c r="D65" s="6">
        <f t="shared" si="8"/>
        <v>334.51891891891893</v>
      </c>
      <c r="E65" s="79">
        <f t="shared" si="9"/>
        <v>5.7675675675675677</v>
      </c>
      <c r="F65" s="24">
        <f>58/37*18</f>
        <v>28.216216216216218</v>
      </c>
      <c r="G65" s="25">
        <v>0</v>
      </c>
      <c r="H65" s="25">
        <f>58/37*13.4</f>
        <v>21.005405405405405</v>
      </c>
      <c r="I65" s="26">
        <f>58/37*5.2</f>
        <v>8.1513513513513516</v>
      </c>
      <c r="J65" s="28">
        <f t="shared" si="10"/>
        <v>0.98918918918918919</v>
      </c>
      <c r="K65" s="29">
        <f t="shared" si="11"/>
        <v>0.49180327868852458</v>
      </c>
      <c r="L65" s="30">
        <f t="shared" si="12"/>
        <v>0.36612021857923494</v>
      </c>
      <c r="M65" s="31">
        <f t="shared" si="13"/>
        <v>0.14207650273224043</v>
      </c>
    </row>
    <row r="66" spans="1:14" s="8" customFormat="1" ht="18.75" x14ac:dyDescent="0.3">
      <c r="A66" s="32" t="s">
        <v>127</v>
      </c>
      <c r="B66" s="33">
        <v>28.3</v>
      </c>
      <c r="C66" s="23">
        <f t="shared" si="7"/>
        <v>6.2389770723104053E-2</v>
      </c>
      <c r="D66" s="6">
        <f t="shared" si="8"/>
        <v>198.79999999999998</v>
      </c>
      <c r="E66" s="79">
        <f t="shared" si="9"/>
        <v>7.0247349823321548</v>
      </c>
      <c r="F66" s="24">
        <v>3.9</v>
      </c>
      <c r="G66" s="25">
        <v>2.7</v>
      </c>
      <c r="H66" s="25">
        <v>20.399999999999999</v>
      </c>
      <c r="I66" s="26">
        <v>2.6</v>
      </c>
      <c r="J66" s="28">
        <f t="shared" si="10"/>
        <v>0.85512367491166075</v>
      </c>
      <c r="K66" s="29">
        <f t="shared" si="11"/>
        <v>4.958677685950412E-2</v>
      </c>
      <c r="L66" s="30">
        <f t="shared" si="12"/>
        <v>0.84297520661157022</v>
      </c>
      <c r="M66" s="31">
        <f t="shared" si="13"/>
        <v>0.10743801652892562</v>
      </c>
    </row>
    <row r="67" spans="1:14" s="8" customFormat="1" ht="18.75" x14ac:dyDescent="0.3">
      <c r="A67" s="32" t="s">
        <v>203</v>
      </c>
      <c r="B67" s="33">
        <v>36</v>
      </c>
      <c r="C67" s="23">
        <f t="shared" si="7"/>
        <v>7.9365079365079361E-2</v>
      </c>
      <c r="D67" s="6">
        <f t="shared" si="8"/>
        <v>60</v>
      </c>
      <c r="E67" s="79">
        <f t="shared" si="9"/>
        <v>1.6666666666666667</v>
      </c>
      <c r="F67" s="24">
        <v>22</v>
      </c>
      <c r="G67" s="25">
        <v>14</v>
      </c>
      <c r="H67" s="25">
        <v>0</v>
      </c>
      <c r="I67" s="26">
        <v>7</v>
      </c>
      <c r="J67" s="28">
        <f t="shared" si="10"/>
        <v>0.41666666666666669</v>
      </c>
      <c r="K67" s="29">
        <f t="shared" si="11"/>
        <v>0.53333333333333333</v>
      </c>
      <c r="L67" s="30">
        <f t="shared" si="12"/>
        <v>0</v>
      </c>
      <c r="M67" s="31">
        <f t="shared" si="13"/>
        <v>0.46666666666666667</v>
      </c>
    </row>
    <row r="68" spans="1:14" s="8" customFormat="1" ht="18.75" x14ac:dyDescent="0.3">
      <c r="A68" s="32" t="s">
        <v>12</v>
      </c>
      <c r="B68" s="33">
        <v>28.3</v>
      </c>
      <c r="C68" s="23">
        <f t="shared" ref="C68:C92" si="23">B68/453.6</f>
        <v>6.2389770723104053E-2</v>
      </c>
      <c r="D68" s="6">
        <f t="shared" ref="D68:D92" si="24">(4*SUM(F68-G68,I68))+(9*H68)</f>
        <v>94</v>
      </c>
      <c r="E68" s="79">
        <f t="shared" ref="E68:E92" si="25">D68/B68</f>
        <v>3.3215547703180213</v>
      </c>
      <c r="F68" s="24">
        <v>4</v>
      </c>
      <c r="G68" s="25">
        <v>0</v>
      </c>
      <c r="H68" s="25">
        <v>6</v>
      </c>
      <c r="I68" s="26">
        <v>6</v>
      </c>
      <c r="J68" s="28">
        <f t="shared" ref="J68:J81" si="26">SUM(F68,-G68,H68,I68)/B68</f>
        <v>0.56537102473498235</v>
      </c>
      <c r="K68" s="29">
        <f t="shared" ref="K68:K92" si="27">(F68-G68)/SUM(F68-G68,H68:I68)</f>
        <v>0.25</v>
      </c>
      <c r="L68" s="30">
        <f t="shared" ref="L68:L92" si="28">H68/SUM(F68,-G68,H68:I68)</f>
        <v>0.375</v>
      </c>
      <c r="M68" s="31">
        <f t="shared" ref="M68:M92" si="29">I68/SUM(F68-G68,,H68:I68)</f>
        <v>0.375</v>
      </c>
      <c r="N68" s="2"/>
    </row>
    <row r="69" spans="1:14" s="8" customFormat="1" ht="18.75" x14ac:dyDescent="0.3">
      <c r="A69" s="90" t="s">
        <v>66</v>
      </c>
      <c r="B69" s="33">
        <v>55</v>
      </c>
      <c r="C69" s="23">
        <f t="shared" si="23"/>
        <v>0.12125220458553791</v>
      </c>
      <c r="D69" s="6">
        <f t="shared" si="24"/>
        <v>233</v>
      </c>
      <c r="E69" s="79">
        <f t="shared" si="25"/>
        <v>4.2363636363636363</v>
      </c>
      <c r="F69" s="24">
        <v>31</v>
      </c>
      <c r="G69" s="25">
        <v>3</v>
      </c>
      <c r="H69" s="25">
        <v>9</v>
      </c>
      <c r="I69" s="26">
        <v>10</v>
      </c>
      <c r="J69" s="28">
        <f t="shared" si="26"/>
        <v>0.8545454545454545</v>
      </c>
      <c r="K69" s="29">
        <f t="shared" si="27"/>
        <v>0.5957446808510638</v>
      </c>
      <c r="L69" s="30">
        <f t="shared" si="28"/>
        <v>0.19148936170212766</v>
      </c>
      <c r="M69" s="31">
        <f t="shared" si="29"/>
        <v>0.21276595744680851</v>
      </c>
      <c r="N69" s="2"/>
    </row>
    <row r="70" spans="1:14" s="8" customFormat="1" ht="18.75" x14ac:dyDescent="0.3">
      <c r="A70" s="49" t="s">
        <v>225</v>
      </c>
      <c r="B70" s="61">
        <v>34</v>
      </c>
      <c r="C70" s="51">
        <f>B70/453.6</f>
        <v>7.4955908289241618E-2</v>
      </c>
      <c r="D70" s="61">
        <v>190</v>
      </c>
      <c r="E70" s="79">
        <f t="shared" si="25"/>
        <v>5.5882352941176467</v>
      </c>
      <c r="F70" s="58">
        <v>4</v>
      </c>
      <c r="G70" s="58">
        <v>16</v>
      </c>
      <c r="H70" s="59">
        <v>3</v>
      </c>
      <c r="I70" s="27">
        <f>D70/B70</f>
        <v>5.5882352941176467</v>
      </c>
      <c r="J70" s="28">
        <f>SUM(E70,-F70,G70,H70)/B70</f>
        <v>0.60553633217993075</v>
      </c>
      <c r="K70" s="29">
        <f t="shared" ref="K70" si="30">(E70-F70)/SUM(E70-F70,G70:H70)</f>
        <v>7.7142857142857138E-2</v>
      </c>
      <c r="L70" s="30">
        <f t="shared" ref="L70" si="31">G70/SUM(E70,-F70,G70:H70)</f>
        <v>0.77714285714285725</v>
      </c>
      <c r="M70" s="31">
        <f t="shared" ref="M70" si="32">H70/SUM(E70-F70,,G70:H70)</f>
        <v>0.14571428571428574</v>
      </c>
      <c r="N70" s="2"/>
    </row>
    <row r="71" spans="1:14" s="139" customFormat="1" ht="18.75" x14ac:dyDescent="0.3">
      <c r="A71" s="49" t="s">
        <v>224</v>
      </c>
      <c r="B71" s="61">
        <v>86</v>
      </c>
      <c r="C71" s="23">
        <f t="shared" ref="C71" si="33">B71/453.6</f>
        <v>0.18959435626102292</v>
      </c>
      <c r="D71" s="61">
        <v>400</v>
      </c>
      <c r="E71" s="79">
        <f t="shared" si="25"/>
        <v>4.6511627906976747</v>
      </c>
      <c r="F71" s="58">
        <v>6</v>
      </c>
      <c r="G71" s="58">
        <v>22</v>
      </c>
      <c r="H71" s="59">
        <v>11</v>
      </c>
      <c r="I71" s="27">
        <f>D71/B71</f>
        <v>4.6511627906976747</v>
      </c>
      <c r="J71" s="28">
        <f>SUM(E71,-F71,G71,H71)/B71</f>
        <v>0.36803677663601947</v>
      </c>
      <c r="K71" s="29">
        <f>(E71-F71)/SUM(E71-F71,G71:H71)</f>
        <v>-4.2615723732549585E-2</v>
      </c>
      <c r="L71" s="30">
        <f>G71/SUM(E71,-F71,G71:H71)</f>
        <v>0.69507714915503305</v>
      </c>
      <c r="M71" s="31">
        <f>H71/SUM(E71-F71,,G71:H71)</f>
        <v>0.34753857457751652</v>
      </c>
    </row>
    <row r="72" spans="1:14" s="8" customFormat="1" ht="18.75" x14ac:dyDescent="0.3">
      <c r="A72" s="32" t="s">
        <v>149</v>
      </c>
      <c r="B72" s="33">
        <f>(B65/2+54.2)*1.5</f>
        <v>124.80000000000001</v>
      </c>
      <c r="C72" s="23">
        <f t="shared" si="23"/>
        <v>0.27513227513227512</v>
      </c>
      <c r="D72" s="6">
        <f t="shared" si="24"/>
        <v>609.5391891891893</v>
      </c>
      <c r="E72" s="79">
        <f t="shared" si="25"/>
        <v>4.8841281185031189</v>
      </c>
      <c r="F72" s="24">
        <f>1.5*(F65/2+36.5)</f>
        <v>75.912162162162161</v>
      </c>
      <c r="G72" s="25">
        <f>1.5*(G65/2+4.9)</f>
        <v>7.3500000000000005</v>
      </c>
      <c r="H72" s="25">
        <f>1.5*(H65/2+9.9)</f>
        <v>30.604054054054057</v>
      </c>
      <c r="I72" s="26">
        <f>1.5*(I65/2+5.9)</f>
        <v>14.963513513513515</v>
      </c>
      <c r="J72" s="28">
        <f t="shared" si="26"/>
        <v>0.91450103950103956</v>
      </c>
      <c r="K72" s="29">
        <f t="shared" si="27"/>
        <v>0.60073884626314289</v>
      </c>
      <c r="L72" s="30">
        <f t="shared" si="28"/>
        <v>0.26815146348394431</v>
      </c>
      <c r="M72" s="31">
        <f t="shared" si="29"/>
        <v>0.13110969025291275</v>
      </c>
    </row>
    <row r="73" spans="1:14" s="8" customFormat="1" ht="18.75" x14ac:dyDescent="0.3">
      <c r="A73" s="32" t="s">
        <v>72</v>
      </c>
      <c r="B73" s="33">
        <v>85</v>
      </c>
      <c r="C73" s="23">
        <f t="shared" si="23"/>
        <v>0.18738977072310406</v>
      </c>
      <c r="D73" s="6">
        <f t="shared" si="24"/>
        <v>288.60000000000002</v>
      </c>
      <c r="E73" s="79">
        <f t="shared" si="25"/>
        <v>3.395294117647059</v>
      </c>
      <c r="F73" s="24">
        <v>54.5</v>
      </c>
      <c r="G73" s="25">
        <v>5.6</v>
      </c>
      <c r="H73" s="25">
        <v>5</v>
      </c>
      <c r="I73" s="26">
        <v>12</v>
      </c>
      <c r="J73" s="28">
        <f t="shared" si="26"/>
        <v>0.77529411764705891</v>
      </c>
      <c r="K73" s="29">
        <f t="shared" si="27"/>
        <v>0.74203338391502272</v>
      </c>
      <c r="L73" s="30">
        <f t="shared" si="28"/>
        <v>7.5872534142640363E-2</v>
      </c>
      <c r="M73" s="31">
        <f t="shared" si="29"/>
        <v>0.18209408194233687</v>
      </c>
    </row>
    <row r="74" spans="1:14" s="8" customFormat="1" ht="18.75" x14ac:dyDescent="0.3">
      <c r="A74" s="32" t="s">
        <v>152</v>
      </c>
      <c r="B74" s="33">
        <v>79</v>
      </c>
      <c r="C74" s="23">
        <f t="shared" si="23"/>
        <v>0.17416225749559083</v>
      </c>
      <c r="D74" s="6">
        <f t="shared" si="24"/>
        <v>319</v>
      </c>
      <c r="E74" s="79">
        <f t="shared" si="25"/>
        <v>4.037974683544304</v>
      </c>
      <c r="F74" s="24">
        <v>49</v>
      </c>
      <c r="G74" s="25">
        <v>5</v>
      </c>
      <c r="H74" s="25">
        <v>11</v>
      </c>
      <c r="I74" s="26">
        <v>11</v>
      </c>
      <c r="J74" s="28">
        <f t="shared" si="26"/>
        <v>0.83544303797468356</v>
      </c>
      <c r="K74" s="29">
        <f t="shared" si="27"/>
        <v>0.66666666666666663</v>
      </c>
      <c r="L74" s="30">
        <f t="shared" si="28"/>
        <v>0.16666666666666666</v>
      </c>
      <c r="M74" s="31">
        <f t="shared" si="29"/>
        <v>0.16666666666666666</v>
      </c>
    </row>
    <row r="75" spans="1:14" s="8" customFormat="1" ht="18.75" x14ac:dyDescent="0.3">
      <c r="A75" s="32" t="s">
        <v>42</v>
      </c>
      <c r="B75" s="33">
        <v>14</v>
      </c>
      <c r="C75" s="23">
        <f t="shared" si="23"/>
        <v>3.0864197530864196E-2</v>
      </c>
      <c r="D75" s="6">
        <f t="shared" si="24"/>
        <v>44.9</v>
      </c>
      <c r="E75" s="79">
        <f t="shared" si="25"/>
        <v>3.2071428571428569</v>
      </c>
      <c r="F75" s="24">
        <v>11.1</v>
      </c>
      <c r="G75" s="25">
        <v>0.5</v>
      </c>
      <c r="H75" s="25">
        <v>0.1</v>
      </c>
      <c r="I75" s="26">
        <v>0.4</v>
      </c>
      <c r="J75" s="28">
        <f t="shared" si="26"/>
        <v>0.79285714285714282</v>
      </c>
      <c r="K75" s="29">
        <f t="shared" si="27"/>
        <v>0.95495495495495497</v>
      </c>
      <c r="L75" s="30">
        <f t="shared" si="28"/>
        <v>9.0090090090090089E-3</v>
      </c>
      <c r="M75" s="31">
        <f t="shared" si="29"/>
        <v>3.6036036036036036E-2</v>
      </c>
    </row>
    <row r="76" spans="1:14" s="8" customFormat="1" ht="18.75" x14ac:dyDescent="0.3">
      <c r="A76" s="32" t="s">
        <v>41</v>
      </c>
      <c r="B76" s="33">
        <v>85</v>
      </c>
      <c r="C76" s="23">
        <f t="shared" si="23"/>
        <v>0.18738977072310406</v>
      </c>
      <c r="D76" s="6">
        <f t="shared" si="24"/>
        <v>369.6</v>
      </c>
      <c r="E76" s="79">
        <f t="shared" si="25"/>
        <v>4.3482352941176474</v>
      </c>
      <c r="F76" s="24">
        <v>52</v>
      </c>
      <c r="G76" s="25">
        <v>2</v>
      </c>
      <c r="H76" s="25">
        <v>14.4</v>
      </c>
      <c r="I76" s="26">
        <v>10</v>
      </c>
      <c r="J76" s="28">
        <f t="shared" si="26"/>
        <v>0.87529411764705889</v>
      </c>
      <c r="K76" s="29">
        <f t="shared" si="27"/>
        <v>0.67204301075268813</v>
      </c>
      <c r="L76" s="30">
        <f t="shared" si="28"/>
        <v>0.19354838709677419</v>
      </c>
      <c r="M76" s="31">
        <f t="shared" si="29"/>
        <v>0.13440860215053763</v>
      </c>
    </row>
    <row r="77" spans="1:14" s="8" customFormat="1" ht="19.5" customHeight="1" x14ac:dyDescent="0.3">
      <c r="A77" s="32" t="s">
        <v>156</v>
      </c>
      <c r="B77" s="33">
        <v>28</v>
      </c>
      <c r="C77" s="23">
        <f t="shared" si="23"/>
        <v>6.1728395061728392E-2</v>
      </c>
      <c r="D77" s="6">
        <f t="shared" si="24"/>
        <v>109</v>
      </c>
      <c r="E77" s="79">
        <f t="shared" si="25"/>
        <v>3.8928571428571428</v>
      </c>
      <c r="F77" s="24">
        <v>0</v>
      </c>
      <c r="G77" s="25">
        <v>0</v>
      </c>
      <c r="H77" s="25">
        <v>9</v>
      </c>
      <c r="I77" s="26">
        <v>7</v>
      </c>
      <c r="J77" s="28">
        <f t="shared" si="26"/>
        <v>0.5714285714285714</v>
      </c>
      <c r="K77" s="29">
        <f t="shared" si="27"/>
        <v>0</v>
      </c>
      <c r="L77" s="30">
        <f t="shared" si="28"/>
        <v>0.5625</v>
      </c>
      <c r="M77" s="31">
        <f t="shared" si="29"/>
        <v>0.4375</v>
      </c>
      <c r="N77" s="2"/>
    </row>
    <row r="78" spans="1:14" s="8" customFormat="1" ht="18.75" x14ac:dyDescent="0.3">
      <c r="A78" s="32" t="s">
        <v>125</v>
      </c>
      <c r="B78" s="33">
        <v>28</v>
      </c>
      <c r="C78" s="23">
        <f t="shared" si="23"/>
        <v>6.1728395061728392E-2</v>
      </c>
      <c r="D78" s="6">
        <f t="shared" si="24"/>
        <v>127</v>
      </c>
      <c r="E78" s="79">
        <f t="shared" si="25"/>
        <v>4.5357142857142856</v>
      </c>
      <c r="F78" s="33">
        <v>17</v>
      </c>
      <c r="G78" s="33">
        <v>3</v>
      </c>
      <c r="H78" s="33">
        <v>7</v>
      </c>
      <c r="I78" s="33">
        <v>2</v>
      </c>
      <c r="J78" s="28">
        <f t="shared" si="26"/>
        <v>0.8214285714285714</v>
      </c>
      <c r="K78" s="29">
        <f t="shared" si="27"/>
        <v>0.60869565217391308</v>
      </c>
      <c r="L78" s="30">
        <f t="shared" si="28"/>
        <v>0.30434782608695654</v>
      </c>
      <c r="M78" s="31">
        <f t="shared" si="29"/>
        <v>8.6956521739130432E-2</v>
      </c>
      <c r="N78" s="2"/>
    </row>
    <row r="79" spans="1:14" s="8" customFormat="1" ht="18.75" x14ac:dyDescent="0.3">
      <c r="A79" s="20" t="s">
        <v>11</v>
      </c>
      <c r="B79" s="21">
        <v>10</v>
      </c>
      <c r="C79" s="23">
        <f t="shared" si="23"/>
        <v>2.2045855379188711E-2</v>
      </c>
      <c r="D79" s="6">
        <f t="shared" si="24"/>
        <v>40.599999999999994</v>
      </c>
      <c r="E79" s="108">
        <f t="shared" si="25"/>
        <v>4.0599999999999996</v>
      </c>
      <c r="F79" s="83">
        <v>0.2</v>
      </c>
      <c r="G79" s="84">
        <v>0</v>
      </c>
      <c r="H79" s="84">
        <v>3.4</v>
      </c>
      <c r="I79" s="85">
        <v>2.2999999999999998</v>
      </c>
      <c r="J79" s="71">
        <f t="shared" si="26"/>
        <v>0.59000000000000008</v>
      </c>
      <c r="K79" s="99">
        <f t="shared" si="27"/>
        <v>3.3898305084745763E-2</v>
      </c>
      <c r="L79" s="87">
        <f t="shared" si="28"/>
        <v>0.57627118644067787</v>
      </c>
      <c r="M79" s="88">
        <f t="shared" si="29"/>
        <v>0.38983050847457623</v>
      </c>
    </row>
    <row r="80" spans="1:14" s="8" customFormat="1" ht="18" customHeight="1" x14ac:dyDescent="0.3">
      <c r="A80" s="32" t="s">
        <v>94</v>
      </c>
      <c r="B80" s="33">
        <v>42.5</v>
      </c>
      <c r="C80" s="23">
        <f t="shared" si="23"/>
        <v>9.369488536155203E-2</v>
      </c>
      <c r="D80" s="6">
        <f t="shared" si="24"/>
        <v>65</v>
      </c>
      <c r="E80" s="79">
        <f t="shared" si="25"/>
        <v>1.5294117647058822</v>
      </c>
      <c r="F80" s="24">
        <v>15</v>
      </c>
      <c r="G80" s="25">
        <v>6</v>
      </c>
      <c r="H80" s="25">
        <v>1</v>
      </c>
      <c r="I80" s="26">
        <v>5</v>
      </c>
      <c r="J80" s="28">
        <f t="shared" si="26"/>
        <v>0.35294117647058826</v>
      </c>
      <c r="K80" s="29">
        <f t="shared" si="27"/>
        <v>0.6</v>
      </c>
      <c r="L80" s="30">
        <f t="shared" si="28"/>
        <v>6.6666666666666666E-2</v>
      </c>
      <c r="M80" s="31">
        <f t="shared" si="29"/>
        <v>0.33333333333333331</v>
      </c>
      <c r="N80" s="2"/>
    </row>
    <row r="81" spans="1:24" s="8" customFormat="1" ht="18.75" x14ac:dyDescent="0.3">
      <c r="A81" s="32" t="s">
        <v>122</v>
      </c>
      <c r="B81" s="33">
        <v>31.2</v>
      </c>
      <c r="C81" s="23">
        <f t="shared" si="23"/>
        <v>6.8783068783068779E-2</v>
      </c>
      <c r="D81" s="6">
        <f t="shared" si="24"/>
        <v>172</v>
      </c>
      <c r="E81" s="79">
        <f t="shared" si="25"/>
        <v>5.5128205128205128</v>
      </c>
      <c r="F81" s="24">
        <v>14</v>
      </c>
      <c r="G81" s="25">
        <v>1</v>
      </c>
      <c r="H81" s="25">
        <v>12</v>
      </c>
      <c r="I81" s="26">
        <v>3</v>
      </c>
      <c r="J81" s="28">
        <f t="shared" si="26"/>
        <v>0.89743589743589747</v>
      </c>
      <c r="K81" s="29">
        <f t="shared" si="27"/>
        <v>0.4642857142857143</v>
      </c>
      <c r="L81" s="30">
        <f t="shared" si="28"/>
        <v>0.42857142857142855</v>
      </c>
      <c r="M81" s="31">
        <f t="shared" si="29"/>
        <v>0.10714285714285714</v>
      </c>
      <c r="N81" s="2"/>
    </row>
    <row r="82" spans="1:24" s="8" customFormat="1" ht="18.75" x14ac:dyDescent="0.3">
      <c r="A82" s="20" t="s">
        <v>209</v>
      </c>
      <c r="B82" s="21">
        <v>50</v>
      </c>
      <c r="C82" s="23">
        <f t="shared" ref="C82" si="34">B82/453.6</f>
        <v>0.11022927689594356</v>
      </c>
      <c r="D82" s="6">
        <v>230</v>
      </c>
      <c r="E82" s="79">
        <f t="shared" ref="E82" si="35">D82/B82</f>
        <v>4.5999999999999996</v>
      </c>
      <c r="F82" s="24">
        <v>27</v>
      </c>
      <c r="G82" s="25">
        <v>0</v>
      </c>
      <c r="H82" s="25">
        <v>11.3</v>
      </c>
      <c r="I82" s="26">
        <v>3</v>
      </c>
      <c r="J82" s="71">
        <f>SUM(F82,H82,I82)/B82</f>
        <v>0.82599999999999996</v>
      </c>
      <c r="K82" s="103">
        <f t="shared" ref="K82" si="36">(F82-G82)/SUM(F82-G82,H82:I82)</f>
        <v>0.65375302663438262</v>
      </c>
      <c r="L82" s="30">
        <f t="shared" ref="L82" si="37">H82/SUM(F82,-G82,H82:I82)</f>
        <v>0.27360774818401939</v>
      </c>
      <c r="M82" s="31">
        <f t="shared" ref="M82" si="38">I82/SUM(F82-G82,,H82:I82)</f>
        <v>7.2639225181598072E-2</v>
      </c>
    </row>
    <row r="83" spans="1:24" s="8" customFormat="1" ht="18.75" x14ac:dyDescent="0.3">
      <c r="A83" s="20" t="s">
        <v>87</v>
      </c>
      <c r="B83" s="21">
        <f>SUM(F83:I83)</f>
        <v>11.5</v>
      </c>
      <c r="C83" s="23">
        <f t="shared" si="23"/>
        <v>2.5352733686067018E-2</v>
      </c>
      <c r="D83" s="6">
        <f t="shared" si="24"/>
        <v>102.5</v>
      </c>
      <c r="E83" s="79">
        <f t="shared" si="25"/>
        <v>8.9130434782608692</v>
      </c>
      <c r="F83" s="24">
        <v>0.1</v>
      </c>
      <c r="G83" s="25">
        <v>0</v>
      </c>
      <c r="H83" s="25">
        <v>11.3</v>
      </c>
      <c r="I83" s="26">
        <v>0.1</v>
      </c>
      <c r="J83" s="71">
        <f>SUM(F83,H83,I83)/B83</f>
        <v>1</v>
      </c>
      <c r="K83" s="103">
        <f t="shared" si="27"/>
        <v>8.6956521739130436E-3</v>
      </c>
      <c r="L83" s="30">
        <f t="shared" si="28"/>
        <v>0.98260869565217401</v>
      </c>
      <c r="M83" s="31">
        <f t="shared" si="29"/>
        <v>8.6956521739130436E-3</v>
      </c>
    </row>
    <row r="84" spans="1:24" s="8" customFormat="1" ht="18" customHeight="1" x14ac:dyDescent="0.3">
      <c r="A84" s="90" t="s">
        <v>129</v>
      </c>
      <c r="B84" s="33">
        <v>25</v>
      </c>
      <c r="C84" s="23">
        <f t="shared" si="23"/>
        <v>5.5114638447971778E-2</v>
      </c>
      <c r="D84" s="6">
        <f t="shared" si="24"/>
        <v>154</v>
      </c>
      <c r="E84" s="79">
        <f t="shared" si="25"/>
        <v>6.16</v>
      </c>
      <c r="F84" s="24">
        <v>4</v>
      </c>
      <c r="G84" s="25">
        <v>2.5</v>
      </c>
      <c r="H84" s="25">
        <v>14</v>
      </c>
      <c r="I84" s="26">
        <v>5.5</v>
      </c>
      <c r="J84" s="28">
        <f t="shared" ref="J84:J92" si="39">SUM(F84,-G84,H84,I84)/B84</f>
        <v>0.84</v>
      </c>
      <c r="K84" s="29">
        <f t="shared" si="27"/>
        <v>7.1428571428571425E-2</v>
      </c>
      <c r="L84" s="30">
        <f t="shared" si="28"/>
        <v>0.66666666666666663</v>
      </c>
      <c r="M84" s="31">
        <f t="shared" si="29"/>
        <v>0.26190476190476192</v>
      </c>
      <c r="N84" s="2"/>
    </row>
    <row r="85" spans="1:24" s="8" customFormat="1" ht="18" customHeight="1" x14ac:dyDescent="0.3">
      <c r="A85" s="32" t="s">
        <v>96</v>
      </c>
      <c r="B85" s="33">
        <v>24</v>
      </c>
      <c r="C85" s="23">
        <f t="shared" si="23"/>
        <v>5.2910052910052907E-2</v>
      </c>
      <c r="D85" s="6">
        <f t="shared" si="24"/>
        <v>88</v>
      </c>
      <c r="E85" s="79">
        <f t="shared" si="25"/>
        <v>3.6666666666666665</v>
      </c>
      <c r="F85" s="33">
        <v>22</v>
      </c>
      <c r="G85" s="34">
        <v>0</v>
      </c>
      <c r="H85" s="34">
        <v>0</v>
      </c>
      <c r="I85" s="35">
        <v>0</v>
      </c>
      <c r="J85" s="28">
        <f t="shared" si="39"/>
        <v>0.91666666666666663</v>
      </c>
      <c r="K85" s="29">
        <f t="shared" si="27"/>
        <v>1</v>
      </c>
      <c r="L85" s="30">
        <f t="shared" si="28"/>
        <v>0</v>
      </c>
      <c r="M85" s="31">
        <f t="shared" si="29"/>
        <v>0</v>
      </c>
    </row>
    <row r="86" spans="1:24" s="8" customFormat="1" ht="18.75" x14ac:dyDescent="0.3">
      <c r="A86" s="32" t="s">
        <v>73</v>
      </c>
      <c r="B86" s="33">
        <v>28</v>
      </c>
      <c r="C86" s="23">
        <f t="shared" si="23"/>
        <v>6.1728395061728392E-2</v>
      </c>
      <c r="D86" s="6">
        <f t="shared" si="24"/>
        <v>81</v>
      </c>
      <c r="E86" s="79">
        <f t="shared" si="25"/>
        <v>2.8928571428571428</v>
      </c>
      <c r="F86" s="24">
        <v>7</v>
      </c>
      <c r="G86" s="25">
        <v>0</v>
      </c>
      <c r="H86" s="25">
        <v>1</v>
      </c>
      <c r="I86" s="26">
        <v>11</v>
      </c>
      <c r="J86" s="28">
        <f t="shared" si="39"/>
        <v>0.6785714285714286</v>
      </c>
      <c r="K86" s="29">
        <f t="shared" si="27"/>
        <v>0.36842105263157893</v>
      </c>
      <c r="L86" s="30">
        <f t="shared" si="28"/>
        <v>5.2631578947368418E-2</v>
      </c>
      <c r="M86" s="31">
        <f t="shared" si="29"/>
        <v>0.57894736842105265</v>
      </c>
    </row>
    <row r="87" spans="1:24" s="4" customFormat="1" ht="18.600000000000001" customHeight="1" x14ac:dyDescent="0.3">
      <c r="A87" s="49" t="s">
        <v>222</v>
      </c>
      <c r="B87" s="61">
        <v>94</v>
      </c>
      <c r="C87" s="51">
        <f>B87/453.6</f>
        <v>0.20723104056437389</v>
      </c>
      <c r="D87" s="61">
        <v>620</v>
      </c>
      <c r="E87" s="79">
        <f t="shared" si="25"/>
        <v>6.5957446808510642</v>
      </c>
      <c r="F87" s="58">
        <v>1</v>
      </c>
      <c r="G87" s="58">
        <v>23</v>
      </c>
      <c r="H87" s="59">
        <v>20</v>
      </c>
      <c r="I87" s="107">
        <f>D87/B87</f>
        <v>6.5957446808510642</v>
      </c>
      <c r="J87" s="53">
        <f>SUM(E87-F87,G87,H87)/B87</f>
        <v>0.51697600724309645</v>
      </c>
      <c r="K87" s="54">
        <f>(E87-F87)/SUM(E87-F87,G87:H87)</f>
        <v>0.11514886164623468</v>
      </c>
      <c r="L87" s="55">
        <f>G87/SUM(E87,-F87,G87:H87)</f>
        <v>0.47329246935201402</v>
      </c>
      <c r="M87" s="56">
        <f>H87/SUM(E87-F87,,G87:H87)</f>
        <v>0.41155866900175131</v>
      </c>
    </row>
    <row r="88" spans="1:24" s="8" customFormat="1" ht="18.75" x14ac:dyDescent="0.3">
      <c r="A88" s="32" t="s">
        <v>227</v>
      </c>
      <c r="B88" s="33">
        <v>57</v>
      </c>
      <c r="C88" s="23">
        <f t="shared" si="23"/>
        <v>0.12566137566137567</v>
      </c>
      <c r="D88" s="6">
        <f t="shared" si="24"/>
        <v>66</v>
      </c>
      <c r="E88" s="79">
        <f t="shared" si="25"/>
        <v>1.1578947368421053</v>
      </c>
      <c r="F88" s="24">
        <v>0</v>
      </c>
      <c r="G88" s="25">
        <v>0</v>
      </c>
      <c r="H88" s="25">
        <v>2</v>
      </c>
      <c r="I88" s="26">
        <v>12</v>
      </c>
      <c r="J88" s="71">
        <f t="shared" si="39"/>
        <v>0.24561403508771928</v>
      </c>
      <c r="K88" s="29">
        <f t="shared" si="27"/>
        <v>0</v>
      </c>
      <c r="L88" s="30">
        <f t="shared" si="28"/>
        <v>0.14285714285714285</v>
      </c>
      <c r="M88" s="31">
        <f t="shared" si="29"/>
        <v>0.8571428571428571</v>
      </c>
    </row>
    <row r="89" spans="1:24" s="8" customFormat="1" ht="18.75" x14ac:dyDescent="0.3">
      <c r="A89" s="32" t="s">
        <v>88</v>
      </c>
      <c r="B89" s="33">
        <v>28</v>
      </c>
      <c r="C89" s="23">
        <f t="shared" si="23"/>
        <v>6.1728395061728392E-2</v>
      </c>
      <c r="D89" s="6">
        <f t="shared" si="24"/>
        <v>114</v>
      </c>
      <c r="E89" s="79">
        <f t="shared" si="25"/>
        <v>4.0714285714285712</v>
      </c>
      <c r="F89" s="24">
        <v>17</v>
      </c>
      <c r="G89" s="25">
        <v>3</v>
      </c>
      <c r="H89" s="25">
        <v>6</v>
      </c>
      <c r="I89" s="26">
        <v>1</v>
      </c>
      <c r="J89" s="28">
        <f t="shared" si="39"/>
        <v>0.75</v>
      </c>
      <c r="K89" s="29">
        <f t="shared" si="27"/>
        <v>0.66666666666666663</v>
      </c>
      <c r="L89" s="30">
        <f t="shared" si="28"/>
        <v>0.2857142857142857</v>
      </c>
      <c r="M89" s="31">
        <f t="shared" si="29"/>
        <v>4.7619047619047616E-2</v>
      </c>
      <c r="N89" s="2"/>
    </row>
    <row r="90" spans="1:24" s="4" customFormat="1" ht="18.75" x14ac:dyDescent="0.3">
      <c r="A90" s="32" t="s">
        <v>77</v>
      </c>
      <c r="B90" s="33">
        <v>58</v>
      </c>
      <c r="C90" s="23">
        <f t="shared" si="23"/>
        <v>0.12786596119929453</v>
      </c>
      <c r="D90" s="6">
        <f t="shared" si="24"/>
        <v>400</v>
      </c>
      <c r="E90" s="79">
        <f t="shared" si="25"/>
        <v>6.8965517241379306</v>
      </c>
      <c r="F90" s="24">
        <v>4</v>
      </c>
      <c r="G90" s="25">
        <v>4</v>
      </c>
      <c r="H90" s="25">
        <v>40</v>
      </c>
      <c r="I90" s="26">
        <v>10</v>
      </c>
      <c r="J90" s="28">
        <f t="shared" si="39"/>
        <v>0.86206896551724133</v>
      </c>
      <c r="K90" s="29">
        <f t="shared" si="27"/>
        <v>0</v>
      </c>
      <c r="L90" s="30">
        <f t="shared" si="28"/>
        <v>0.8</v>
      </c>
      <c r="M90" s="31">
        <f t="shared" si="29"/>
        <v>0.2</v>
      </c>
      <c r="N90" s="2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s="8" customFormat="1" ht="18.75" x14ac:dyDescent="0.3">
      <c r="A91" s="32" t="s">
        <v>155</v>
      </c>
      <c r="B91" s="33">
        <v>29.9</v>
      </c>
      <c r="C91" s="23">
        <f t="shared" si="23"/>
        <v>6.591710758377424E-2</v>
      </c>
      <c r="D91" s="6">
        <f t="shared" si="24"/>
        <v>128.5</v>
      </c>
      <c r="E91" s="79">
        <f t="shared" si="25"/>
        <v>4.2976588628762542</v>
      </c>
      <c r="F91" s="24">
        <v>22</v>
      </c>
      <c r="G91" s="25">
        <v>2</v>
      </c>
      <c r="H91" s="25">
        <v>4.5</v>
      </c>
      <c r="I91" s="26">
        <v>2</v>
      </c>
      <c r="J91" s="28">
        <f t="shared" si="39"/>
        <v>0.88628762541806028</v>
      </c>
      <c r="K91" s="29">
        <f t="shared" si="27"/>
        <v>0.75471698113207553</v>
      </c>
      <c r="L91" s="30">
        <f t="shared" si="28"/>
        <v>0.16981132075471697</v>
      </c>
      <c r="M91" s="31">
        <f t="shared" si="29"/>
        <v>7.5471698113207544E-2</v>
      </c>
    </row>
    <row r="92" spans="1:24" s="8" customFormat="1" ht="19.5" thickBot="1" x14ac:dyDescent="0.35">
      <c r="A92" s="37" t="s">
        <v>148</v>
      </c>
      <c r="B92" s="38">
        <v>60</v>
      </c>
      <c r="C92" s="40">
        <f t="shared" si="23"/>
        <v>0.13227513227513227</v>
      </c>
      <c r="D92" s="7">
        <f t="shared" si="24"/>
        <v>288</v>
      </c>
      <c r="E92" s="109">
        <f t="shared" si="25"/>
        <v>4.8</v>
      </c>
      <c r="F92" s="41">
        <v>22</v>
      </c>
      <c r="G92" s="42">
        <v>0</v>
      </c>
      <c r="H92" s="42">
        <v>16</v>
      </c>
      <c r="I92" s="43">
        <v>14</v>
      </c>
      <c r="J92" s="45">
        <f t="shared" si="39"/>
        <v>0.8666666666666667</v>
      </c>
      <c r="K92" s="46">
        <f t="shared" si="27"/>
        <v>0.42307692307692307</v>
      </c>
      <c r="L92" s="47">
        <f t="shared" si="28"/>
        <v>0.30769230769230771</v>
      </c>
      <c r="M92" s="48">
        <f t="shared" si="29"/>
        <v>0.26923076923076922</v>
      </c>
      <c r="N92" s="2"/>
    </row>
    <row r="93" spans="1:24" ht="18.75" x14ac:dyDescent="0.3">
      <c r="A93" s="3" t="s">
        <v>75</v>
      </c>
    </row>
    <row r="94" spans="1:24" ht="18.75" x14ac:dyDescent="0.3">
      <c r="A94" s="2"/>
    </row>
    <row r="95" spans="1:24" ht="18.75" x14ac:dyDescent="0.3">
      <c r="A95" s="2" t="s">
        <v>117</v>
      </c>
    </row>
    <row r="96" spans="1:24" ht="18.75" x14ac:dyDescent="0.3">
      <c r="A96" s="2" t="s">
        <v>118</v>
      </c>
    </row>
    <row r="97" spans="1:1" ht="18.75" x14ac:dyDescent="0.3">
      <c r="A97" s="2" t="s">
        <v>119</v>
      </c>
    </row>
    <row r="98" spans="1:1" ht="18.75" x14ac:dyDescent="0.3">
      <c r="A98" s="2" t="s">
        <v>120</v>
      </c>
    </row>
    <row r="99" spans="1:1" ht="18.75" x14ac:dyDescent="0.3">
      <c r="A99" s="2" t="s">
        <v>121</v>
      </c>
    </row>
  </sheetData>
  <sortState xmlns:xlrd2="http://schemas.microsoft.com/office/spreadsheetml/2017/richdata2" ref="A3:Y132">
    <sortCondition ref="A3:A132"/>
  </sortState>
  <mergeCells count="10">
    <mergeCell ref="I1:I2"/>
    <mergeCell ref="E1:E2"/>
    <mergeCell ref="J1:J2"/>
    <mergeCell ref="K1:M1"/>
    <mergeCell ref="A1:A2"/>
    <mergeCell ref="B1:C1"/>
    <mergeCell ref="D1:D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8"/>
  <sheetViews>
    <sheetView workbookViewId="0">
      <selection activeCell="F1" sqref="F1:I1048576"/>
    </sheetView>
  </sheetViews>
  <sheetFormatPr defaultRowHeight="15" x14ac:dyDescent="0.25"/>
  <cols>
    <col min="1" max="1" width="67.7109375" customWidth="1"/>
    <col min="2" max="2" width="10.140625" style="4" customWidth="1"/>
    <col min="3" max="3" width="8.85546875" style="4" hidden="1" customWidth="1"/>
    <col min="4" max="4" width="8.85546875" style="4" customWidth="1"/>
    <col min="5" max="5" width="10.5703125" style="4" customWidth="1"/>
    <col min="6" max="9" width="10" style="4" hidden="1" customWidth="1"/>
    <col min="10" max="10" width="11.28515625" style="4" customWidth="1"/>
    <col min="11" max="11" width="15.5703125" style="4" customWidth="1"/>
    <col min="12" max="13" width="10.28515625" style="4" customWidth="1"/>
    <col min="14" max="14" width="11" style="4" customWidth="1"/>
  </cols>
  <sheetData>
    <row r="1" spans="1:15" ht="22.15" customHeight="1" x14ac:dyDescent="0.3">
      <c r="A1" s="161"/>
      <c r="B1" s="175" t="s">
        <v>163</v>
      </c>
      <c r="C1" s="176"/>
      <c r="D1" s="177"/>
      <c r="E1" s="180" t="s">
        <v>0</v>
      </c>
      <c r="F1" s="182" t="s">
        <v>1</v>
      </c>
      <c r="G1" s="184" t="s">
        <v>2</v>
      </c>
      <c r="H1" s="184" t="s">
        <v>3</v>
      </c>
      <c r="I1" s="186" t="s">
        <v>4</v>
      </c>
      <c r="J1" s="180" t="s">
        <v>5</v>
      </c>
      <c r="K1" s="178" t="s">
        <v>74</v>
      </c>
      <c r="L1" s="175" t="s">
        <v>78</v>
      </c>
      <c r="M1" s="176"/>
      <c r="N1" s="177"/>
    </row>
    <row r="2" spans="1:15" s="1" customFormat="1" ht="21.75" customHeight="1" thickBot="1" x14ac:dyDescent="0.35">
      <c r="A2" s="162"/>
      <c r="B2" s="110" t="s">
        <v>160</v>
      </c>
      <c r="C2" s="116" t="s">
        <v>161</v>
      </c>
      <c r="D2" s="135" t="s">
        <v>162</v>
      </c>
      <c r="E2" s="181"/>
      <c r="F2" s="183"/>
      <c r="G2" s="185"/>
      <c r="H2" s="185"/>
      <c r="I2" s="187"/>
      <c r="J2" s="181"/>
      <c r="K2" s="179"/>
      <c r="L2" s="110" t="s">
        <v>79</v>
      </c>
      <c r="M2" s="116" t="s">
        <v>80</v>
      </c>
      <c r="N2" s="135" t="s">
        <v>81</v>
      </c>
    </row>
    <row r="3" spans="1:15" s="8" customFormat="1" ht="23.25" customHeight="1" thickBot="1" x14ac:dyDescent="0.4">
      <c r="A3" s="167" t="s">
        <v>82</v>
      </c>
      <c r="B3" s="168"/>
      <c r="C3" s="168"/>
      <c r="D3" s="168"/>
      <c r="E3" s="169"/>
      <c r="F3" s="170"/>
      <c r="G3" s="170"/>
      <c r="H3" s="170"/>
      <c r="I3" s="170"/>
      <c r="J3" s="170"/>
      <c r="K3" s="169"/>
      <c r="L3" s="169"/>
      <c r="M3" s="169"/>
      <c r="N3" s="171"/>
    </row>
    <row r="4" spans="1:15" s="8" customFormat="1" ht="18.75" x14ac:dyDescent="0.3">
      <c r="A4" s="80" t="s">
        <v>6</v>
      </c>
      <c r="B4" s="5">
        <v>28</v>
      </c>
      <c r="C4" s="141">
        <f t="shared" ref="C4:C25" si="0">B4*0.03527</f>
        <v>0.9875600000000001</v>
      </c>
      <c r="D4" s="11">
        <f t="shared" ref="D4:D38" si="1">B4/453.6</f>
        <v>6.1728395061728392E-2</v>
      </c>
      <c r="E4" s="5">
        <f t="shared" ref="E4:E38" si="2">(4*SUM(F4-G4,I4))+(9*H4)</f>
        <v>252</v>
      </c>
      <c r="F4" s="12">
        <v>0</v>
      </c>
      <c r="G4" s="13">
        <v>0</v>
      </c>
      <c r="H4" s="13">
        <v>28</v>
      </c>
      <c r="I4" s="14">
        <v>0</v>
      </c>
      <c r="J4" s="15">
        <f t="shared" ref="J4:J38" si="3">E4/B4</f>
        <v>9</v>
      </c>
      <c r="K4" s="16">
        <f>SUM(F4,-G4,H4,I4)/B4</f>
        <v>1</v>
      </c>
      <c r="L4" s="17">
        <f t="shared" ref="L4:L38" si="4">(F4-G4)/SUM(F4-G4,H4:I4)</f>
        <v>0</v>
      </c>
      <c r="M4" s="18">
        <f t="shared" ref="M4:M38" si="5">H4/SUM(F4,-G4,H4:I4)</f>
        <v>1</v>
      </c>
      <c r="N4" s="19">
        <f t="shared" ref="N4:N38" si="6">I4/SUM(F4-G4,,H4:I4)</f>
        <v>0</v>
      </c>
    </row>
    <row r="5" spans="1:15" s="8" customFormat="1" ht="18.75" x14ac:dyDescent="0.3">
      <c r="A5" s="20" t="s">
        <v>87</v>
      </c>
      <c r="B5" s="6">
        <f>SUM(F5:I5)</f>
        <v>11.5</v>
      </c>
      <c r="C5" s="142">
        <f t="shared" si="0"/>
        <v>0.40560500000000005</v>
      </c>
      <c r="D5" s="23">
        <f t="shared" si="1"/>
        <v>2.5352733686067018E-2</v>
      </c>
      <c r="E5" s="6">
        <f t="shared" si="2"/>
        <v>102.5</v>
      </c>
      <c r="F5" s="24">
        <v>0.1</v>
      </c>
      <c r="G5" s="25">
        <v>0</v>
      </c>
      <c r="H5" s="25">
        <v>11.3</v>
      </c>
      <c r="I5" s="26">
        <v>0.1</v>
      </c>
      <c r="J5" s="79">
        <f t="shared" si="3"/>
        <v>8.9130434782608692</v>
      </c>
      <c r="K5" s="28">
        <f>SUM(F5,H5,I5)/B5</f>
        <v>1</v>
      </c>
      <c r="L5" s="29">
        <f t="shared" si="4"/>
        <v>8.6956521739130436E-3</v>
      </c>
      <c r="M5" s="30">
        <f t="shared" si="5"/>
        <v>0.98260869565217401</v>
      </c>
      <c r="N5" s="31">
        <f t="shared" si="6"/>
        <v>8.6956521739130436E-3</v>
      </c>
    </row>
    <row r="6" spans="1:15" s="8" customFormat="1" ht="18.75" x14ac:dyDescent="0.3">
      <c r="A6" s="20" t="s">
        <v>126</v>
      </c>
      <c r="B6" s="6">
        <v>28.3</v>
      </c>
      <c r="C6" s="142">
        <f t="shared" si="0"/>
        <v>0.99814100000000006</v>
      </c>
      <c r="D6" s="23">
        <f t="shared" si="1"/>
        <v>6.2389770723104053E-2</v>
      </c>
      <c r="E6" s="6">
        <f t="shared" si="2"/>
        <v>207.5</v>
      </c>
      <c r="F6" s="24">
        <v>3.6</v>
      </c>
      <c r="G6" s="25">
        <v>2.2999999999999998</v>
      </c>
      <c r="H6" s="25">
        <v>21.5</v>
      </c>
      <c r="I6" s="26">
        <v>2.2000000000000002</v>
      </c>
      <c r="J6" s="27">
        <f t="shared" si="3"/>
        <v>7.3321554770318018</v>
      </c>
      <c r="K6" s="28">
        <f t="shared" ref="K6:K54" si="7">SUM(F6,-G6,H6,I6)/B6</f>
        <v>0.88339222614840984</v>
      </c>
      <c r="L6" s="29">
        <f t="shared" si="4"/>
        <v>5.2000000000000011E-2</v>
      </c>
      <c r="M6" s="30">
        <f t="shared" si="5"/>
        <v>0.86</v>
      </c>
      <c r="N6" s="31">
        <f t="shared" si="6"/>
        <v>8.8000000000000009E-2</v>
      </c>
      <c r="O6" s="2"/>
    </row>
    <row r="7" spans="1:15" s="8" customFormat="1" ht="18.75" x14ac:dyDescent="0.3">
      <c r="A7" s="20" t="s">
        <v>127</v>
      </c>
      <c r="B7" s="6">
        <v>28.3</v>
      </c>
      <c r="C7" s="143">
        <f t="shared" si="0"/>
        <v>0.99814100000000006</v>
      </c>
      <c r="D7" s="23">
        <f t="shared" si="1"/>
        <v>6.2389770723104053E-2</v>
      </c>
      <c r="E7" s="6">
        <f t="shared" si="2"/>
        <v>198.79999999999998</v>
      </c>
      <c r="F7" s="24">
        <v>3.9</v>
      </c>
      <c r="G7" s="25">
        <v>2.7</v>
      </c>
      <c r="H7" s="25">
        <v>20.399999999999999</v>
      </c>
      <c r="I7" s="26">
        <v>2.6</v>
      </c>
      <c r="J7" s="27">
        <f t="shared" si="3"/>
        <v>7.0247349823321548</v>
      </c>
      <c r="K7" s="28">
        <f t="shared" si="7"/>
        <v>0.85512367491166075</v>
      </c>
      <c r="L7" s="29">
        <f t="shared" si="4"/>
        <v>4.958677685950412E-2</v>
      </c>
      <c r="M7" s="30">
        <f t="shared" si="5"/>
        <v>0.84297520661157022</v>
      </c>
      <c r="N7" s="31">
        <f t="shared" si="6"/>
        <v>0.10743801652892562</v>
      </c>
    </row>
    <row r="8" spans="1:15" s="8" customFormat="1" ht="18.75" x14ac:dyDescent="0.3">
      <c r="A8" s="20" t="s">
        <v>77</v>
      </c>
      <c r="B8" s="6">
        <v>58</v>
      </c>
      <c r="C8" s="142">
        <f t="shared" si="0"/>
        <v>2.0456600000000003</v>
      </c>
      <c r="D8" s="23">
        <f t="shared" si="1"/>
        <v>0.12786596119929453</v>
      </c>
      <c r="E8" s="6">
        <f t="shared" si="2"/>
        <v>400</v>
      </c>
      <c r="F8" s="24">
        <v>4</v>
      </c>
      <c r="G8" s="25">
        <v>4</v>
      </c>
      <c r="H8" s="25">
        <v>40</v>
      </c>
      <c r="I8" s="26">
        <v>10</v>
      </c>
      <c r="J8" s="27">
        <f t="shared" si="3"/>
        <v>6.8965517241379306</v>
      </c>
      <c r="K8" s="28">
        <f t="shared" si="7"/>
        <v>0.86206896551724133</v>
      </c>
      <c r="L8" s="29">
        <f t="shared" si="4"/>
        <v>0</v>
      </c>
      <c r="M8" s="30">
        <f t="shared" si="5"/>
        <v>0.8</v>
      </c>
      <c r="N8" s="31">
        <f t="shared" si="6"/>
        <v>0.2</v>
      </c>
      <c r="O8" s="2"/>
    </row>
    <row r="9" spans="1:15" s="8" customFormat="1" ht="18.75" x14ac:dyDescent="0.3">
      <c r="A9" s="20" t="s">
        <v>85</v>
      </c>
      <c r="B9" s="6">
        <v>57</v>
      </c>
      <c r="C9" s="142">
        <f t="shared" si="0"/>
        <v>2.0103900000000001</v>
      </c>
      <c r="D9" s="23">
        <f t="shared" si="1"/>
        <v>0.12566137566137567</v>
      </c>
      <c r="E9" s="6">
        <f t="shared" si="2"/>
        <v>388.24</v>
      </c>
      <c r="F9" s="24">
        <v>7</v>
      </c>
      <c r="G9" s="25">
        <f>57/20*2</f>
        <v>5.7</v>
      </c>
      <c r="H9" s="25">
        <f>57/20*13.6</f>
        <v>38.76</v>
      </c>
      <c r="I9" s="26">
        <f>57/20*3</f>
        <v>8.5500000000000007</v>
      </c>
      <c r="J9" s="27">
        <f t="shared" si="3"/>
        <v>6.8112280701754386</v>
      </c>
      <c r="K9" s="28">
        <f t="shared" si="7"/>
        <v>0.85280701754385968</v>
      </c>
      <c r="L9" s="29">
        <f t="shared" si="4"/>
        <v>2.6743468422135361E-2</v>
      </c>
      <c r="M9" s="30">
        <f t="shared" si="5"/>
        <v>0.79736679695535895</v>
      </c>
      <c r="N9" s="31">
        <f t="shared" si="6"/>
        <v>0.17588973462250568</v>
      </c>
      <c r="O9" s="2"/>
    </row>
    <row r="10" spans="1:15" s="4" customFormat="1" ht="18.600000000000001" customHeight="1" x14ac:dyDescent="0.3">
      <c r="A10" s="49" t="s">
        <v>222</v>
      </c>
      <c r="B10" s="61">
        <v>94</v>
      </c>
      <c r="C10" s="144">
        <f>B10*0.035274</f>
        <v>3.3157559999999999</v>
      </c>
      <c r="D10" s="51">
        <f>B10/453.6</f>
        <v>0.20723104056437389</v>
      </c>
      <c r="E10" s="61">
        <v>620</v>
      </c>
      <c r="F10" s="57">
        <v>2</v>
      </c>
      <c r="G10" s="58">
        <v>1</v>
      </c>
      <c r="H10" s="58">
        <v>23</v>
      </c>
      <c r="I10" s="59">
        <v>20</v>
      </c>
      <c r="J10" s="107">
        <f>E10/B10</f>
        <v>6.5957446808510642</v>
      </c>
      <c r="K10" s="53">
        <f>SUM(F10-G10,H10,I10)/B10</f>
        <v>0.46808510638297873</v>
      </c>
      <c r="L10" s="54">
        <f>(F10-G10)/SUM(F10-G10,H10:I10)</f>
        <v>2.2727272727272728E-2</v>
      </c>
      <c r="M10" s="55">
        <f>H10/SUM(F10,-G10,H10:I10)</f>
        <v>0.52272727272727271</v>
      </c>
      <c r="N10" s="56">
        <f>I10/SUM(F10-G10,,H10:I10)</f>
        <v>0.45454545454545453</v>
      </c>
    </row>
    <row r="11" spans="1:15" s="8" customFormat="1" ht="18.75" x14ac:dyDescent="0.3">
      <c r="A11" s="20" t="s">
        <v>84</v>
      </c>
      <c r="B11" s="6">
        <v>30.9</v>
      </c>
      <c r="C11" s="142">
        <f t="shared" si="0"/>
        <v>1.0898430000000001</v>
      </c>
      <c r="D11" s="23">
        <f t="shared" si="1"/>
        <v>6.8121693121693111E-2</v>
      </c>
      <c r="E11" s="6">
        <f t="shared" si="2"/>
        <v>201</v>
      </c>
      <c r="F11" s="24">
        <v>7</v>
      </c>
      <c r="G11" s="25">
        <v>1</v>
      </c>
      <c r="H11" s="25">
        <v>17</v>
      </c>
      <c r="I11" s="26">
        <v>6</v>
      </c>
      <c r="J11" s="27">
        <f t="shared" si="3"/>
        <v>6.5048543689320395</v>
      </c>
      <c r="K11" s="28">
        <f t="shared" si="7"/>
        <v>0.93851132686084149</v>
      </c>
      <c r="L11" s="29">
        <f t="shared" si="4"/>
        <v>0.20689655172413793</v>
      </c>
      <c r="M11" s="30">
        <f t="shared" si="5"/>
        <v>0.58620689655172409</v>
      </c>
      <c r="N11" s="31">
        <f t="shared" si="6"/>
        <v>0.20689655172413793</v>
      </c>
      <c r="O11" s="2"/>
    </row>
    <row r="12" spans="1:15" s="8" customFormat="1" ht="18.75" x14ac:dyDescent="0.3">
      <c r="A12" s="36" t="s">
        <v>129</v>
      </c>
      <c r="B12" s="6">
        <v>25</v>
      </c>
      <c r="C12" s="143">
        <f t="shared" si="0"/>
        <v>0.88175000000000003</v>
      </c>
      <c r="D12" s="23">
        <f t="shared" si="1"/>
        <v>5.5114638447971778E-2</v>
      </c>
      <c r="E12" s="6">
        <f t="shared" si="2"/>
        <v>154</v>
      </c>
      <c r="F12" s="24">
        <v>4</v>
      </c>
      <c r="G12" s="25">
        <v>2.5</v>
      </c>
      <c r="H12" s="25">
        <v>14</v>
      </c>
      <c r="I12" s="26">
        <v>5.5</v>
      </c>
      <c r="J12" s="27">
        <f t="shared" si="3"/>
        <v>6.16</v>
      </c>
      <c r="K12" s="28">
        <f t="shared" si="7"/>
        <v>0.84</v>
      </c>
      <c r="L12" s="29">
        <f t="shared" si="4"/>
        <v>7.1428571428571425E-2</v>
      </c>
      <c r="M12" s="30">
        <f t="shared" si="5"/>
        <v>0.66666666666666663</v>
      </c>
      <c r="N12" s="31">
        <f t="shared" si="6"/>
        <v>0.26190476190476192</v>
      </c>
      <c r="O12" s="2"/>
    </row>
    <row r="13" spans="1:15" s="8" customFormat="1" ht="18.75" x14ac:dyDescent="0.3">
      <c r="A13" s="20" t="s">
        <v>200</v>
      </c>
      <c r="B13" s="6">
        <v>137</v>
      </c>
      <c r="C13" s="142">
        <f t="shared" si="0"/>
        <v>4.8319900000000002</v>
      </c>
      <c r="D13" s="23">
        <f t="shared" si="1"/>
        <v>0.30202821869488533</v>
      </c>
      <c r="E13" s="6">
        <f t="shared" si="2"/>
        <v>818.3</v>
      </c>
      <c r="F13" s="24">
        <v>44.8</v>
      </c>
      <c r="G13" s="25">
        <v>4.0999999999999996</v>
      </c>
      <c r="H13" s="25">
        <v>63.5</v>
      </c>
      <c r="I13" s="26">
        <v>21</v>
      </c>
      <c r="J13" s="27">
        <f t="shared" si="3"/>
        <v>5.9729927007299271</v>
      </c>
      <c r="K13" s="28">
        <f t="shared" si="7"/>
        <v>0.91386861313868606</v>
      </c>
      <c r="L13" s="29">
        <f t="shared" si="4"/>
        <v>0.32507987220447282</v>
      </c>
      <c r="M13" s="30">
        <f t="shared" si="5"/>
        <v>0.50718849840255598</v>
      </c>
      <c r="N13" s="31">
        <f t="shared" si="6"/>
        <v>0.16773162939297126</v>
      </c>
      <c r="O13" s="2"/>
    </row>
    <row r="14" spans="1:15" s="8" customFormat="1" ht="18.75" x14ac:dyDescent="0.3">
      <c r="A14" s="20" t="s">
        <v>197</v>
      </c>
      <c r="B14" s="6">
        <v>138</v>
      </c>
      <c r="C14" s="142">
        <f t="shared" si="0"/>
        <v>4.8672600000000008</v>
      </c>
      <c r="D14" s="23">
        <f t="shared" si="1"/>
        <v>0.30423280423280424</v>
      </c>
      <c r="E14" s="6">
        <f t="shared" si="2"/>
        <v>819.3</v>
      </c>
      <c r="F14" s="24">
        <v>26.6</v>
      </c>
      <c r="G14" s="25">
        <v>16.3</v>
      </c>
      <c r="H14" s="25">
        <v>72.900000000000006</v>
      </c>
      <c r="I14" s="26">
        <v>30.5</v>
      </c>
      <c r="J14" s="27">
        <f t="shared" si="3"/>
        <v>5.9369565217391305</v>
      </c>
      <c r="K14" s="28">
        <f t="shared" si="7"/>
        <v>0.82391304347826089</v>
      </c>
      <c r="L14" s="29">
        <f t="shared" si="4"/>
        <v>9.0589270008795075E-2</v>
      </c>
      <c r="M14" s="30">
        <f t="shared" si="5"/>
        <v>0.64116094986807393</v>
      </c>
      <c r="N14" s="31">
        <f t="shared" si="6"/>
        <v>0.26824978012313105</v>
      </c>
      <c r="O14" s="2"/>
    </row>
    <row r="15" spans="1:15" s="8" customFormat="1" ht="18.75" x14ac:dyDescent="0.3">
      <c r="A15" s="20" t="s">
        <v>7</v>
      </c>
      <c r="B15" s="6">
        <v>56</v>
      </c>
      <c r="C15" s="142">
        <f t="shared" si="0"/>
        <v>1.9751200000000002</v>
      </c>
      <c r="D15" s="23">
        <f t="shared" si="1"/>
        <v>0.12345679012345678</v>
      </c>
      <c r="E15" s="6">
        <f t="shared" si="2"/>
        <v>326</v>
      </c>
      <c r="F15" s="24">
        <v>10</v>
      </c>
      <c r="G15" s="25">
        <v>6</v>
      </c>
      <c r="H15" s="25">
        <v>30</v>
      </c>
      <c r="I15" s="26">
        <v>10</v>
      </c>
      <c r="J15" s="27">
        <f t="shared" si="3"/>
        <v>5.8214285714285712</v>
      </c>
      <c r="K15" s="28">
        <f t="shared" si="7"/>
        <v>0.7857142857142857</v>
      </c>
      <c r="L15" s="29">
        <f t="shared" si="4"/>
        <v>9.0909090909090912E-2</v>
      </c>
      <c r="M15" s="30">
        <f t="shared" si="5"/>
        <v>0.68181818181818177</v>
      </c>
      <c r="N15" s="31">
        <f t="shared" si="6"/>
        <v>0.22727272727272727</v>
      </c>
    </row>
    <row r="16" spans="1:15" s="8" customFormat="1" ht="18.75" x14ac:dyDescent="0.3">
      <c r="A16" s="20" t="s">
        <v>69</v>
      </c>
      <c r="B16" s="6">
        <v>58</v>
      </c>
      <c r="C16" s="142">
        <f t="shared" si="0"/>
        <v>2.0456600000000003</v>
      </c>
      <c r="D16" s="23">
        <f t="shared" si="1"/>
        <v>0.12786596119929453</v>
      </c>
      <c r="E16" s="6">
        <f t="shared" si="2"/>
        <v>334.51891891891893</v>
      </c>
      <c r="F16" s="24">
        <f>58/37*18</f>
        <v>28.216216216216218</v>
      </c>
      <c r="G16" s="25">
        <v>0</v>
      </c>
      <c r="H16" s="25">
        <f>58/37*13.4</f>
        <v>21.005405405405405</v>
      </c>
      <c r="I16" s="26">
        <f>58/37*5.2</f>
        <v>8.1513513513513516</v>
      </c>
      <c r="J16" s="27">
        <f t="shared" si="3"/>
        <v>5.7675675675675677</v>
      </c>
      <c r="K16" s="28">
        <f t="shared" si="7"/>
        <v>0.98918918918918919</v>
      </c>
      <c r="L16" s="29">
        <f t="shared" si="4"/>
        <v>0.49180327868852458</v>
      </c>
      <c r="M16" s="30">
        <f t="shared" si="5"/>
        <v>0.36612021857923494</v>
      </c>
      <c r="N16" s="31">
        <f t="shared" si="6"/>
        <v>0.14207650273224043</v>
      </c>
    </row>
    <row r="17" spans="1:25" s="8" customFormat="1" ht="18.75" x14ac:dyDescent="0.3">
      <c r="A17" s="49" t="s">
        <v>225</v>
      </c>
      <c r="B17" s="61">
        <v>34</v>
      </c>
      <c r="C17" s="144">
        <f>B17*0.03527</f>
        <v>1.1991800000000001</v>
      </c>
      <c r="D17" s="51">
        <f>B17/453.6</f>
        <v>7.4955908289241618E-2</v>
      </c>
      <c r="E17" s="61">
        <v>190</v>
      </c>
      <c r="F17" s="57">
        <v>11</v>
      </c>
      <c r="G17" s="58">
        <v>4</v>
      </c>
      <c r="H17" s="58">
        <v>16</v>
      </c>
      <c r="I17" s="59">
        <v>3</v>
      </c>
      <c r="J17" s="27">
        <f t="shared" ref="J17" si="8">E17/B17</f>
        <v>5.5882352941176467</v>
      </c>
      <c r="K17" s="28">
        <f t="shared" ref="K17" si="9">SUM(F17,-G17,H17,I17)/B17</f>
        <v>0.76470588235294112</v>
      </c>
      <c r="L17" s="29">
        <f t="shared" ref="L17" si="10">(F17-G17)/SUM(F17-G17,H17:I17)</f>
        <v>0.26923076923076922</v>
      </c>
      <c r="M17" s="30">
        <f t="shared" ref="M17" si="11">H17/SUM(F17,-G17,H17:I17)</f>
        <v>0.61538461538461542</v>
      </c>
      <c r="N17" s="31">
        <f t="shared" ref="N17" si="12">I17/SUM(F17-G17,,H17:I17)</f>
        <v>0.11538461538461539</v>
      </c>
      <c r="O17" s="2"/>
    </row>
    <row r="18" spans="1:25" s="4" customFormat="1" ht="18.75" x14ac:dyDescent="0.3">
      <c r="A18" s="20" t="s">
        <v>223</v>
      </c>
      <c r="B18" s="6">
        <v>152</v>
      </c>
      <c r="C18" s="142">
        <f>B18*0.035274</f>
        <v>5.3616479999999997</v>
      </c>
      <c r="D18" s="23">
        <f>B18/453.6</f>
        <v>0.33509700176366841</v>
      </c>
      <c r="E18" s="6">
        <v>850</v>
      </c>
      <c r="F18" s="24">
        <v>65</v>
      </c>
      <c r="G18" s="25">
        <v>6</v>
      </c>
      <c r="H18" s="25">
        <v>44</v>
      </c>
      <c r="I18" s="26">
        <v>44</v>
      </c>
      <c r="J18" s="79">
        <f>E18/B18</f>
        <v>5.5921052631578947</v>
      </c>
      <c r="K18" s="53">
        <f>SUM(F18-G18,H18,I18)/B18</f>
        <v>0.96710526315789469</v>
      </c>
      <c r="L18" s="29">
        <f>(F18-G18)/SUM(F18-G18,H18:I18)</f>
        <v>0.40136054421768708</v>
      </c>
      <c r="M18" s="30">
        <f>H18/SUM(F18,-G18,H18:I18)</f>
        <v>0.29931972789115646</v>
      </c>
      <c r="N18" s="31">
        <f>I18/SUM(F18-G18,,H18:I18)</f>
        <v>0.29931972789115646</v>
      </c>
    </row>
    <row r="19" spans="1:25" s="8" customFormat="1" ht="18.75" x14ac:dyDescent="0.3">
      <c r="A19" s="20" t="s">
        <v>116</v>
      </c>
      <c r="B19" s="6">
        <v>28.4</v>
      </c>
      <c r="C19" s="142">
        <f t="shared" si="0"/>
        <v>1.001668</v>
      </c>
      <c r="D19" s="23">
        <f t="shared" si="1"/>
        <v>6.261022927689594E-2</v>
      </c>
      <c r="E19" s="6">
        <f t="shared" si="2"/>
        <v>159</v>
      </c>
      <c r="F19" s="33">
        <v>9</v>
      </c>
      <c r="G19" s="34">
        <v>0</v>
      </c>
      <c r="H19" s="34">
        <v>11</v>
      </c>
      <c r="I19" s="35">
        <v>6</v>
      </c>
      <c r="J19" s="27">
        <f t="shared" si="3"/>
        <v>5.598591549295775</v>
      </c>
      <c r="K19" s="28">
        <f t="shared" si="7"/>
        <v>0.91549295774647887</v>
      </c>
      <c r="L19" s="29">
        <f t="shared" si="4"/>
        <v>0.34615384615384615</v>
      </c>
      <c r="M19" s="30">
        <f t="shared" si="5"/>
        <v>0.42307692307692307</v>
      </c>
      <c r="N19" s="31">
        <f t="shared" si="6"/>
        <v>0.23076923076923078</v>
      </c>
      <c r="O19" s="2"/>
    </row>
    <row r="20" spans="1:25" s="8" customFormat="1" ht="18.75" x14ac:dyDescent="0.3">
      <c r="A20" s="20" t="s">
        <v>122</v>
      </c>
      <c r="B20" s="6">
        <v>31.2</v>
      </c>
      <c r="C20" s="143">
        <f t="shared" si="0"/>
        <v>1.1004240000000001</v>
      </c>
      <c r="D20" s="23">
        <f t="shared" si="1"/>
        <v>6.8783068783068779E-2</v>
      </c>
      <c r="E20" s="6">
        <f t="shared" si="2"/>
        <v>172</v>
      </c>
      <c r="F20" s="24">
        <v>14</v>
      </c>
      <c r="G20" s="25">
        <v>1</v>
      </c>
      <c r="H20" s="25">
        <v>12</v>
      </c>
      <c r="I20" s="26">
        <v>3</v>
      </c>
      <c r="J20" s="27">
        <f t="shared" si="3"/>
        <v>5.5128205128205128</v>
      </c>
      <c r="K20" s="28">
        <f t="shared" si="7"/>
        <v>0.89743589743589747</v>
      </c>
      <c r="L20" s="29">
        <f t="shared" si="4"/>
        <v>0.4642857142857143</v>
      </c>
      <c r="M20" s="30">
        <f t="shared" si="5"/>
        <v>0.42857142857142855</v>
      </c>
      <c r="N20" s="31">
        <f t="shared" si="6"/>
        <v>0.10714285714285714</v>
      </c>
      <c r="O20" s="2"/>
    </row>
    <row r="21" spans="1:25" s="4" customFormat="1" ht="18.75" x14ac:dyDescent="0.3">
      <c r="A21" s="20" t="s">
        <v>76</v>
      </c>
      <c r="B21" s="6">
        <v>24</v>
      </c>
      <c r="C21" s="142">
        <f t="shared" si="0"/>
        <v>0.84648000000000012</v>
      </c>
      <c r="D21" s="23">
        <f t="shared" si="1"/>
        <v>5.2910052910052907E-2</v>
      </c>
      <c r="E21" s="6">
        <f t="shared" si="2"/>
        <v>132</v>
      </c>
      <c r="F21" s="24">
        <v>2</v>
      </c>
      <c r="G21" s="25">
        <v>2</v>
      </c>
      <c r="H21" s="25">
        <v>12</v>
      </c>
      <c r="I21" s="26">
        <v>6</v>
      </c>
      <c r="J21" s="27">
        <f t="shared" si="3"/>
        <v>5.5</v>
      </c>
      <c r="K21" s="28">
        <f t="shared" si="7"/>
        <v>0.75</v>
      </c>
      <c r="L21" s="29">
        <f t="shared" si="4"/>
        <v>0</v>
      </c>
      <c r="M21" s="30">
        <f t="shared" si="5"/>
        <v>0.66666666666666663</v>
      </c>
      <c r="N21" s="31">
        <f t="shared" si="6"/>
        <v>0.33333333333333331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s="8" customFormat="1" ht="18.75" x14ac:dyDescent="0.3">
      <c r="A22" s="20" t="s">
        <v>113</v>
      </c>
      <c r="B22" s="6">
        <v>27.1</v>
      </c>
      <c r="C22" s="142">
        <f t="shared" si="0"/>
        <v>0.95581700000000014</v>
      </c>
      <c r="D22" s="23">
        <f t="shared" si="1"/>
        <v>5.9744268077601408E-2</v>
      </c>
      <c r="E22" s="6">
        <f t="shared" si="2"/>
        <v>149</v>
      </c>
      <c r="F22" s="33">
        <v>16</v>
      </c>
      <c r="G22" s="34">
        <v>1</v>
      </c>
      <c r="H22" s="34">
        <v>9</v>
      </c>
      <c r="I22" s="35">
        <v>2</v>
      </c>
      <c r="J22" s="79">
        <f t="shared" si="3"/>
        <v>5.4981549815498152</v>
      </c>
      <c r="K22" s="28">
        <f t="shared" si="7"/>
        <v>0.95940959409594095</v>
      </c>
      <c r="L22" s="29">
        <f t="shared" si="4"/>
        <v>0.57692307692307687</v>
      </c>
      <c r="M22" s="30">
        <f t="shared" si="5"/>
        <v>0.34615384615384615</v>
      </c>
      <c r="N22" s="31">
        <f t="shared" si="6"/>
        <v>7.6923076923076927E-2</v>
      </c>
    </row>
    <row r="23" spans="1:25" s="8" customFormat="1" ht="18.75" x14ac:dyDescent="0.3">
      <c r="A23" s="49" t="s">
        <v>9</v>
      </c>
      <c r="B23" s="61">
        <v>40</v>
      </c>
      <c r="C23" s="144">
        <f t="shared" si="0"/>
        <v>1.4108000000000001</v>
      </c>
      <c r="D23" s="51">
        <f t="shared" si="1"/>
        <v>8.8183421516754845E-2</v>
      </c>
      <c r="E23" s="61">
        <f t="shared" si="2"/>
        <v>219.2</v>
      </c>
      <c r="F23" s="57">
        <v>21</v>
      </c>
      <c r="G23" s="58">
        <v>1.7</v>
      </c>
      <c r="H23" s="58">
        <v>14</v>
      </c>
      <c r="I23" s="59">
        <v>4</v>
      </c>
      <c r="J23" s="52">
        <f t="shared" si="3"/>
        <v>5.4799999999999995</v>
      </c>
      <c r="K23" s="53">
        <f t="shared" si="7"/>
        <v>0.93249999999999988</v>
      </c>
      <c r="L23" s="54">
        <f t="shared" si="4"/>
        <v>0.51742627345844505</v>
      </c>
      <c r="M23" s="55">
        <f t="shared" si="5"/>
        <v>0.37533512064343166</v>
      </c>
      <c r="N23" s="56">
        <f t="shared" si="6"/>
        <v>0.10723860589812333</v>
      </c>
    </row>
    <row r="24" spans="1:25" s="8" customFormat="1" ht="18.75" x14ac:dyDescent="0.3">
      <c r="A24" s="20" t="s">
        <v>70</v>
      </c>
      <c r="B24" s="6">
        <v>104</v>
      </c>
      <c r="C24" s="142">
        <f t="shared" si="0"/>
        <v>3.6680800000000002</v>
      </c>
      <c r="D24" s="23">
        <f t="shared" si="1"/>
        <v>0.2292768959435626</v>
      </c>
      <c r="E24" s="6">
        <f t="shared" si="2"/>
        <v>564</v>
      </c>
      <c r="F24" s="24">
        <v>48</v>
      </c>
      <c r="G24" s="25">
        <v>4</v>
      </c>
      <c r="H24" s="25">
        <v>36</v>
      </c>
      <c r="I24" s="26">
        <v>16</v>
      </c>
      <c r="J24" s="27">
        <f t="shared" si="3"/>
        <v>5.4230769230769234</v>
      </c>
      <c r="K24" s="28">
        <f t="shared" si="7"/>
        <v>0.92307692307692313</v>
      </c>
      <c r="L24" s="29">
        <f t="shared" si="4"/>
        <v>0.45833333333333331</v>
      </c>
      <c r="M24" s="30">
        <f t="shared" si="5"/>
        <v>0.375</v>
      </c>
      <c r="N24" s="31">
        <f t="shared" si="6"/>
        <v>0.16666666666666666</v>
      </c>
      <c r="O24" s="2"/>
    </row>
    <row r="25" spans="1:25" s="8" customFormat="1" ht="18.75" x14ac:dyDescent="0.3">
      <c r="A25" s="20" t="s">
        <v>114</v>
      </c>
      <c r="B25" s="6">
        <v>30</v>
      </c>
      <c r="C25" s="142">
        <f t="shared" si="0"/>
        <v>1.0581</v>
      </c>
      <c r="D25" s="23">
        <f t="shared" si="1"/>
        <v>6.6137566137566134E-2</v>
      </c>
      <c r="E25" s="6">
        <f t="shared" si="2"/>
        <v>156</v>
      </c>
      <c r="F25" s="24">
        <v>18</v>
      </c>
      <c r="G25" s="25">
        <v>1</v>
      </c>
      <c r="H25" s="25">
        <v>8</v>
      </c>
      <c r="I25" s="26">
        <v>4</v>
      </c>
      <c r="J25" s="27">
        <f t="shared" si="3"/>
        <v>5.2</v>
      </c>
      <c r="K25" s="28">
        <f t="shared" si="7"/>
        <v>0.96666666666666667</v>
      </c>
      <c r="L25" s="29">
        <f t="shared" si="4"/>
        <v>0.58620689655172409</v>
      </c>
      <c r="M25" s="30">
        <f t="shared" si="5"/>
        <v>0.27586206896551724</v>
      </c>
      <c r="N25" s="31">
        <f t="shared" si="6"/>
        <v>0.13793103448275862</v>
      </c>
    </row>
    <row r="26" spans="1:25" s="8" customFormat="1" ht="18.75" x14ac:dyDescent="0.3">
      <c r="A26" s="36" t="s">
        <v>204</v>
      </c>
      <c r="B26" s="6">
        <v>72.015877516302808</v>
      </c>
      <c r="C26" s="143">
        <v>2.54</v>
      </c>
      <c r="D26" s="23">
        <f t="shared" si="1"/>
        <v>0.15876516207297797</v>
      </c>
      <c r="E26" s="6">
        <f t="shared" si="2"/>
        <v>372</v>
      </c>
      <c r="F26" s="24">
        <v>16</v>
      </c>
      <c r="G26" s="25">
        <v>0</v>
      </c>
      <c r="H26" s="25">
        <v>20</v>
      </c>
      <c r="I26" s="26">
        <v>32</v>
      </c>
      <c r="J26" s="27">
        <f t="shared" si="3"/>
        <v>5.1655275590551177</v>
      </c>
      <c r="K26" s="28">
        <f t="shared" si="7"/>
        <v>0.94423622047244093</v>
      </c>
      <c r="L26" s="29">
        <f t="shared" si="4"/>
        <v>0.23529411764705882</v>
      </c>
      <c r="M26" s="30">
        <f t="shared" si="5"/>
        <v>0.29411764705882354</v>
      </c>
      <c r="N26" s="31">
        <f t="shared" si="6"/>
        <v>0.47058823529411764</v>
      </c>
      <c r="O26" s="2"/>
    </row>
    <row r="27" spans="1:25" s="8" customFormat="1" ht="18.75" x14ac:dyDescent="0.3">
      <c r="A27" s="20" t="s">
        <v>199</v>
      </c>
      <c r="B27" s="6">
        <v>85</v>
      </c>
      <c r="C27" s="143">
        <f t="shared" ref="C27:C49" si="13">B27*0.03527</f>
        <v>2.9979500000000003</v>
      </c>
      <c r="D27" s="23">
        <f t="shared" si="1"/>
        <v>0.18738977072310406</v>
      </c>
      <c r="E27" s="6">
        <f t="shared" si="2"/>
        <v>437.80000000000007</v>
      </c>
      <c r="F27" s="24">
        <v>49.6</v>
      </c>
      <c r="G27" s="25">
        <v>6.5</v>
      </c>
      <c r="H27" s="25">
        <v>28.6</v>
      </c>
      <c r="I27" s="26">
        <v>2</v>
      </c>
      <c r="J27" s="27">
        <f t="shared" si="3"/>
        <v>5.1505882352941184</v>
      </c>
      <c r="K27" s="28">
        <f t="shared" si="7"/>
        <v>0.86705882352941177</v>
      </c>
      <c r="L27" s="29">
        <f t="shared" si="4"/>
        <v>0.58480325644504749</v>
      </c>
      <c r="M27" s="30">
        <f t="shared" si="5"/>
        <v>0.38805970149253732</v>
      </c>
      <c r="N27" s="31">
        <f t="shared" si="6"/>
        <v>2.7137042062415195E-2</v>
      </c>
      <c r="O27" s="2"/>
    </row>
    <row r="28" spans="1:25" s="101" customFormat="1" ht="18.75" x14ac:dyDescent="0.3">
      <c r="A28" s="20" t="s">
        <v>202</v>
      </c>
      <c r="B28" s="6">
        <v>18</v>
      </c>
      <c r="C28" s="142">
        <f t="shared" si="13"/>
        <v>0.63486000000000009</v>
      </c>
      <c r="D28" s="23">
        <f t="shared" si="1"/>
        <v>3.968253968253968E-2</v>
      </c>
      <c r="E28" s="6">
        <f t="shared" si="2"/>
        <v>91.5</v>
      </c>
      <c r="F28" s="24">
        <v>10.5</v>
      </c>
      <c r="G28" s="25">
        <v>1</v>
      </c>
      <c r="H28" s="25">
        <v>5.5</v>
      </c>
      <c r="I28" s="26">
        <v>1</v>
      </c>
      <c r="J28" s="27">
        <f t="shared" si="3"/>
        <v>5.083333333333333</v>
      </c>
      <c r="K28" s="28">
        <f t="shared" si="7"/>
        <v>0.88888888888888884</v>
      </c>
      <c r="L28" s="29">
        <f t="shared" si="4"/>
        <v>0.59375</v>
      </c>
      <c r="M28" s="30">
        <f t="shared" si="5"/>
        <v>0.34375</v>
      </c>
      <c r="N28" s="31">
        <f t="shared" si="6"/>
        <v>6.25E-2</v>
      </c>
    </row>
    <row r="29" spans="1:25" s="8" customFormat="1" ht="18.75" x14ac:dyDescent="0.3">
      <c r="A29" s="20" t="s">
        <v>198</v>
      </c>
      <c r="B29" s="6">
        <v>30</v>
      </c>
      <c r="C29" s="143">
        <f t="shared" si="13"/>
        <v>1.0581</v>
      </c>
      <c r="D29" s="23">
        <f t="shared" si="1"/>
        <v>6.6137566137566134E-2</v>
      </c>
      <c r="E29" s="6">
        <f t="shared" si="2"/>
        <v>147</v>
      </c>
      <c r="F29" s="24">
        <v>2</v>
      </c>
      <c r="G29" s="25">
        <v>0</v>
      </c>
      <c r="H29" s="25">
        <v>15</v>
      </c>
      <c r="I29" s="26">
        <v>1</v>
      </c>
      <c r="J29" s="79">
        <f t="shared" si="3"/>
        <v>4.9000000000000004</v>
      </c>
      <c r="K29" s="28">
        <f t="shared" si="7"/>
        <v>0.6</v>
      </c>
      <c r="L29" s="29">
        <f t="shared" si="4"/>
        <v>0.1111111111111111</v>
      </c>
      <c r="M29" s="30">
        <f t="shared" si="5"/>
        <v>0.83333333333333337</v>
      </c>
      <c r="N29" s="31">
        <f t="shared" si="6"/>
        <v>5.5555555555555552E-2</v>
      </c>
      <c r="O29" s="2"/>
    </row>
    <row r="30" spans="1:25" s="8" customFormat="1" ht="18.75" x14ac:dyDescent="0.3">
      <c r="A30" s="20" t="s">
        <v>149</v>
      </c>
      <c r="B30" s="6">
        <f>(B25/2+54.2)*1.5</f>
        <v>103.80000000000001</v>
      </c>
      <c r="C30" s="142">
        <f t="shared" si="13"/>
        <v>3.6610260000000006</v>
      </c>
      <c r="D30" s="23">
        <f t="shared" si="1"/>
        <v>0.22883597883597884</v>
      </c>
      <c r="E30" s="6">
        <f t="shared" si="2"/>
        <v>475.65</v>
      </c>
      <c r="F30" s="24">
        <f>1.5*(F25/2+36.5)</f>
        <v>68.25</v>
      </c>
      <c r="G30" s="25">
        <f>1.5*(G25/2+4.9)</f>
        <v>8.1000000000000014</v>
      </c>
      <c r="H30" s="25">
        <f>1.5*(H25/2+9.9)</f>
        <v>20.85</v>
      </c>
      <c r="I30" s="26">
        <f>1.5*(I25/2+5.9)</f>
        <v>11.850000000000001</v>
      </c>
      <c r="J30" s="79">
        <f t="shared" si="3"/>
        <v>4.5823699421965314</v>
      </c>
      <c r="K30" s="28">
        <f t="shared" si="7"/>
        <v>0.89450867052023109</v>
      </c>
      <c r="L30" s="29">
        <f t="shared" si="4"/>
        <v>0.6478190630048466</v>
      </c>
      <c r="M30" s="30">
        <f t="shared" si="5"/>
        <v>0.22455573505654283</v>
      </c>
      <c r="N30" s="31">
        <f t="shared" si="6"/>
        <v>0.12762520193861068</v>
      </c>
    </row>
    <row r="31" spans="1:25" s="8" customFormat="1" ht="18.75" x14ac:dyDescent="0.3">
      <c r="A31" s="20" t="s">
        <v>148</v>
      </c>
      <c r="B31" s="6">
        <v>60</v>
      </c>
      <c r="C31" s="142">
        <f t="shared" si="13"/>
        <v>2.1162000000000001</v>
      </c>
      <c r="D31" s="23">
        <f t="shared" si="1"/>
        <v>0.13227513227513227</v>
      </c>
      <c r="E31" s="6">
        <f t="shared" si="2"/>
        <v>288</v>
      </c>
      <c r="F31" s="24">
        <v>22</v>
      </c>
      <c r="G31" s="25">
        <v>0</v>
      </c>
      <c r="H31" s="25">
        <v>16</v>
      </c>
      <c r="I31" s="26">
        <v>14</v>
      </c>
      <c r="J31" s="27">
        <f t="shared" si="3"/>
        <v>4.8</v>
      </c>
      <c r="K31" s="28">
        <f t="shared" si="7"/>
        <v>0.8666666666666667</v>
      </c>
      <c r="L31" s="29">
        <f t="shared" si="4"/>
        <v>0.42307692307692307</v>
      </c>
      <c r="M31" s="30">
        <f t="shared" si="5"/>
        <v>0.30769230769230771</v>
      </c>
      <c r="N31" s="31">
        <f t="shared" si="6"/>
        <v>0.26923076923076922</v>
      </c>
      <c r="O31" s="2"/>
    </row>
    <row r="32" spans="1:25" s="8" customFormat="1" ht="18.75" x14ac:dyDescent="0.3">
      <c r="A32" s="49" t="s">
        <v>86</v>
      </c>
      <c r="B32" s="61">
        <v>31</v>
      </c>
      <c r="C32" s="145">
        <f t="shared" si="13"/>
        <v>1.0933700000000002</v>
      </c>
      <c r="D32" s="51">
        <f t="shared" si="1"/>
        <v>6.8342151675485005E-2</v>
      </c>
      <c r="E32" s="61">
        <f t="shared" si="2"/>
        <v>148.19999999999999</v>
      </c>
      <c r="F32" s="57">
        <v>11</v>
      </c>
      <c r="G32" s="58">
        <v>1.7</v>
      </c>
      <c r="H32" s="58">
        <v>11</v>
      </c>
      <c r="I32" s="59">
        <v>3</v>
      </c>
      <c r="J32" s="52">
        <f t="shared" si="3"/>
        <v>4.7806451612903222</v>
      </c>
      <c r="K32" s="53">
        <f t="shared" si="7"/>
        <v>0.75161290322580643</v>
      </c>
      <c r="L32" s="54">
        <f t="shared" si="4"/>
        <v>0.39914163090128757</v>
      </c>
      <c r="M32" s="55">
        <f t="shared" si="5"/>
        <v>0.47210300429184548</v>
      </c>
      <c r="N32" s="56">
        <f t="shared" si="6"/>
        <v>0.12875536480686695</v>
      </c>
      <c r="O32" s="2"/>
    </row>
    <row r="33" spans="1:25" s="8" customFormat="1" ht="18.75" x14ac:dyDescent="0.3">
      <c r="A33" s="20" t="s">
        <v>45</v>
      </c>
      <c r="B33" s="6">
        <v>28.3</v>
      </c>
      <c r="C33" s="142">
        <f t="shared" si="13"/>
        <v>0.99814100000000006</v>
      </c>
      <c r="D33" s="23">
        <f t="shared" si="1"/>
        <v>6.2389770723104053E-2</v>
      </c>
      <c r="E33" s="6">
        <f t="shared" si="2"/>
        <v>135</v>
      </c>
      <c r="F33" s="24">
        <v>20</v>
      </c>
      <c r="G33" s="25">
        <v>2</v>
      </c>
      <c r="H33" s="25">
        <v>7</v>
      </c>
      <c r="I33" s="26">
        <v>0</v>
      </c>
      <c r="J33" s="27">
        <f t="shared" si="3"/>
        <v>4.7703180212014136</v>
      </c>
      <c r="K33" s="28">
        <f t="shared" si="7"/>
        <v>0.88339222614840984</v>
      </c>
      <c r="L33" s="29">
        <f t="shared" si="4"/>
        <v>0.72</v>
      </c>
      <c r="M33" s="30">
        <f t="shared" si="5"/>
        <v>0.28000000000000003</v>
      </c>
      <c r="N33" s="31">
        <f t="shared" si="6"/>
        <v>0</v>
      </c>
    </row>
    <row r="34" spans="1:25" s="8" customFormat="1" ht="18.75" x14ac:dyDescent="0.3">
      <c r="A34" s="20" t="s">
        <v>124</v>
      </c>
      <c r="B34" s="6">
        <v>35</v>
      </c>
      <c r="C34" s="143">
        <f t="shared" si="13"/>
        <v>1.23445</v>
      </c>
      <c r="D34" s="23">
        <f t="shared" si="1"/>
        <v>7.716049382716049E-2</v>
      </c>
      <c r="E34" s="6">
        <f t="shared" si="2"/>
        <v>164</v>
      </c>
      <c r="F34" s="24">
        <v>10</v>
      </c>
      <c r="G34" s="25">
        <v>3</v>
      </c>
      <c r="H34" s="25">
        <v>12</v>
      </c>
      <c r="I34" s="26">
        <v>7</v>
      </c>
      <c r="J34" s="27">
        <f t="shared" si="3"/>
        <v>4.6857142857142859</v>
      </c>
      <c r="K34" s="28">
        <f t="shared" si="7"/>
        <v>0.74285714285714288</v>
      </c>
      <c r="L34" s="29">
        <f t="shared" si="4"/>
        <v>0.26923076923076922</v>
      </c>
      <c r="M34" s="30">
        <f t="shared" si="5"/>
        <v>0.46153846153846156</v>
      </c>
      <c r="N34" s="31">
        <f t="shared" si="6"/>
        <v>0.26923076923076922</v>
      </c>
      <c r="O34" s="2"/>
    </row>
    <row r="35" spans="1:25" s="139" customFormat="1" ht="18.75" x14ac:dyDescent="0.3">
      <c r="A35" s="49" t="s">
        <v>224</v>
      </c>
      <c r="B35" s="61">
        <v>86</v>
      </c>
      <c r="C35" s="142">
        <f t="shared" ref="C35" si="14">B35*0.03527</f>
        <v>3.03322</v>
      </c>
      <c r="D35" s="23">
        <f t="shared" ref="D35" si="15">B35/453.6</f>
        <v>0.18959435626102292</v>
      </c>
      <c r="E35" s="61">
        <v>400</v>
      </c>
      <c r="F35" s="57">
        <v>43</v>
      </c>
      <c r="G35" s="58">
        <v>6</v>
      </c>
      <c r="H35" s="58">
        <v>22</v>
      </c>
      <c r="I35" s="59">
        <v>11</v>
      </c>
      <c r="J35" s="27">
        <f>E35/B35</f>
        <v>4.6511627906976747</v>
      </c>
      <c r="K35" s="28">
        <f>SUM(F35,-G35,H35,I35)/B35</f>
        <v>0.81395348837209303</v>
      </c>
      <c r="L35" s="29">
        <f>(F35-G35)/SUM(F35-G35,H35:I35)</f>
        <v>0.52857142857142858</v>
      </c>
      <c r="M35" s="30">
        <f>H35/SUM(F35,-G35,H35:I35)</f>
        <v>0.31428571428571428</v>
      </c>
      <c r="N35" s="31">
        <f>I35/SUM(F35-G35,,H35:I35)</f>
        <v>0.15714285714285714</v>
      </c>
    </row>
    <row r="36" spans="1:25" s="8" customFormat="1" ht="18.75" x14ac:dyDescent="0.3">
      <c r="A36" s="20" t="s">
        <v>112</v>
      </c>
      <c r="B36" s="6">
        <v>29.8</v>
      </c>
      <c r="C36" s="142">
        <f t="shared" si="13"/>
        <v>1.0510460000000001</v>
      </c>
      <c r="D36" s="23">
        <f t="shared" si="1"/>
        <v>6.569664902998236E-2</v>
      </c>
      <c r="E36" s="6">
        <f t="shared" si="2"/>
        <v>138.19999999999999</v>
      </c>
      <c r="F36" s="33">
        <v>20</v>
      </c>
      <c r="G36" s="34">
        <v>0.7</v>
      </c>
      <c r="H36" s="34">
        <v>5</v>
      </c>
      <c r="I36" s="35">
        <v>4</v>
      </c>
      <c r="J36" s="27">
        <f t="shared" si="3"/>
        <v>4.6375838926174495</v>
      </c>
      <c r="K36" s="28">
        <f t="shared" si="7"/>
        <v>0.94966442953020136</v>
      </c>
      <c r="L36" s="29">
        <f t="shared" si="4"/>
        <v>0.6819787985865724</v>
      </c>
      <c r="M36" s="30">
        <f t="shared" si="5"/>
        <v>0.17667844522968199</v>
      </c>
      <c r="N36" s="31">
        <f t="shared" si="6"/>
        <v>0.14134275618374559</v>
      </c>
      <c r="O36" s="2"/>
    </row>
    <row r="37" spans="1:25" s="8" customFormat="1" ht="18" customHeight="1" x14ac:dyDescent="0.3">
      <c r="A37" s="36" t="s">
        <v>128</v>
      </c>
      <c r="B37" s="6">
        <v>30</v>
      </c>
      <c r="C37" s="143">
        <f t="shared" si="13"/>
        <v>1.0581</v>
      </c>
      <c r="D37" s="23">
        <f t="shared" si="1"/>
        <v>6.6137566137566134E-2</v>
      </c>
      <c r="E37" s="6">
        <f t="shared" si="2"/>
        <v>138</v>
      </c>
      <c r="F37" s="24">
        <v>12</v>
      </c>
      <c r="G37" s="25">
        <v>2</v>
      </c>
      <c r="H37" s="25">
        <v>10</v>
      </c>
      <c r="I37" s="26">
        <v>2</v>
      </c>
      <c r="J37" s="27">
        <f t="shared" si="3"/>
        <v>4.5999999999999996</v>
      </c>
      <c r="K37" s="28">
        <f t="shared" si="7"/>
        <v>0.73333333333333328</v>
      </c>
      <c r="L37" s="29">
        <f t="shared" si="4"/>
        <v>0.45454545454545453</v>
      </c>
      <c r="M37" s="30">
        <f t="shared" si="5"/>
        <v>0.45454545454545453</v>
      </c>
      <c r="N37" s="31">
        <f t="shared" si="6"/>
        <v>9.0909090909090912E-2</v>
      </c>
      <c r="O37" s="2"/>
    </row>
    <row r="38" spans="1:25" s="8" customFormat="1" ht="19.5" thickBot="1" x14ac:dyDescent="0.35">
      <c r="A38" s="37" t="s">
        <v>125</v>
      </c>
      <c r="B38" s="7">
        <v>28</v>
      </c>
      <c r="C38" s="146">
        <f t="shared" si="13"/>
        <v>0.9875600000000001</v>
      </c>
      <c r="D38" s="40">
        <f t="shared" si="1"/>
        <v>6.1728395061728392E-2</v>
      </c>
      <c r="E38" s="7">
        <f t="shared" si="2"/>
        <v>127</v>
      </c>
      <c r="F38" s="62">
        <v>17</v>
      </c>
      <c r="G38" s="104">
        <v>3</v>
      </c>
      <c r="H38" s="104">
        <v>7</v>
      </c>
      <c r="I38" s="105">
        <v>2</v>
      </c>
      <c r="J38" s="44">
        <f t="shared" si="3"/>
        <v>4.5357142857142856</v>
      </c>
      <c r="K38" s="45">
        <f t="shared" si="7"/>
        <v>0.8214285714285714</v>
      </c>
      <c r="L38" s="46">
        <f t="shared" si="4"/>
        <v>0.60869565217391308</v>
      </c>
      <c r="M38" s="47">
        <f t="shared" si="5"/>
        <v>0.30434782608695654</v>
      </c>
      <c r="N38" s="48">
        <f t="shared" si="6"/>
        <v>8.6956521739130432E-2</v>
      </c>
      <c r="O38" s="2"/>
    </row>
    <row r="39" spans="1:25" s="8" customFormat="1" ht="18.75" x14ac:dyDescent="0.3">
      <c r="A39" s="111" t="s">
        <v>41</v>
      </c>
      <c r="B39" s="5">
        <v>85</v>
      </c>
      <c r="C39" s="141">
        <f t="shared" si="13"/>
        <v>2.9979500000000003</v>
      </c>
      <c r="D39" s="11">
        <f t="shared" ref="D39:D54" si="16">B39/453.6</f>
        <v>0.18738977072310406</v>
      </c>
      <c r="E39" s="5">
        <f t="shared" ref="E39:E54" si="17">(4*SUM(F39-G39,I39))+(9*H39)</f>
        <v>369.6</v>
      </c>
      <c r="F39" s="12">
        <v>52</v>
      </c>
      <c r="G39" s="13">
        <v>2</v>
      </c>
      <c r="H39" s="13">
        <v>14.4</v>
      </c>
      <c r="I39" s="14">
        <v>10</v>
      </c>
      <c r="J39" s="15">
        <f t="shared" ref="J39:J54" si="18">E39/B39</f>
        <v>4.3482352941176474</v>
      </c>
      <c r="K39" s="16">
        <f t="shared" si="7"/>
        <v>0.87529411764705889</v>
      </c>
      <c r="L39" s="17">
        <f t="shared" ref="L39:L54" si="19">(F39-G39)/SUM(F39-G39,H39:I39)</f>
        <v>0.67204301075268813</v>
      </c>
      <c r="M39" s="18">
        <f t="shared" ref="M39:M54" si="20">H39/SUM(F39,-G39,H39:I39)</f>
        <v>0.19354838709677419</v>
      </c>
      <c r="N39" s="19">
        <f t="shared" ref="N39:N54" si="21">I39/SUM(F39-G39,,H39:I39)</f>
        <v>0.13440860215053763</v>
      </c>
    </row>
    <row r="40" spans="1:25" s="8" customFormat="1" ht="18.75" x14ac:dyDescent="0.3">
      <c r="A40" s="32" t="s">
        <v>95</v>
      </c>
      <c r="B40" s="6">
        <v>30</v>
      </c>
      <c r="C40" s="142">
        <f t="shared" si="13"/>
        <v>1.0581</v>
      </c>
      <c r="D40" s="23">
        <f t="shared" si="16"/>
        <v>6.6137566137566134E-2</v>
      </c>
      <c r="E40" s="6">
        <f t="shared" si="17"/>
        <v>130</v>
      </c>
      <c r="F40" s="24">
        <v>0</v>
      </c>
      <c r="G40" s="25">
        <v>0</v>
      </c>
      <c r="H40" s="25">
        <v>10</v>
      </c>
      <c r="I40" s="26">
        <v>10</v>
      </c>
      <c r="J40" s="27">
        <f t="shared" si="18"/>
        <v>4.333333333333333</v>
      </c>
      <c r="K40" s="28">
        <f t="shared" si="7"/>
        <v>0.66666666666666663</v>
      </c>
      <c r="L40" s="29">
        <f t="shared" si="19"/>
        <v>0</v>
      </c>
      <c r="M40" s="30">
        <f t="shared" si="20"/>
        <v>0.5</v>
      </c>
      <c r="N40" s="31">
        <f t="shared" si="21"/>
        <v>0.5</v>
      </c>
    </row>
    <row r="41" spans="1:25" s="8" customFormat="1" ht="18.75" x14ac:dyDescent="0.3">
      <c r="A41" s="32" t="s">
        <v>150</v>
      </c>
      <c r="B41" s="21">
        <f>30.9+B62/2</f>
        <v>44.9</v>
      </c>
      <c r="C41" s="92">
        <f>B41*0.03527</f>
        <v>1.583623</v>
      </c>
      <c r="D41" s="23">
        <f>B41/453.6</f>
        <v>9.8985890652557307E-2</v>
      </c>
      <c r="E41" s="6">
        <f>(4*SUM(F41-G41,I41))+(9*H41)</f>
        <v>193.8</v>
      </c>
      <c r="F41" s="24">
        <f>F62/2+18.5</f>
        <v>25.5</v>
      </c>
      <c r="G41" s="25">
        <f>G62/2+2.1</f>
        <v>3.6</v>
      </c>
      <c r="H41" s="25">
        <f>H62/2+7.2</f>
        <v>10.199999999999999</v>
      </c>
      <c r="I41" s="26">
        <f>I62/2+3.1</f>
        <v>3.6</v>
      </c>
      <c r="J41" s="79">
        <f>E41/B41</f>
        <v>4.3162583518930964</v>
      </c>
      <c r="K41" s="28">
        <f>SUM(F41,-G41,H41,I41)/B41</f>
        <v>0.7951002227171492</v>
      </c>
      <c r="L41" s="29">
        <f>(F41-G41)/SUM(F41-G41,H41:I41)</f>
        <v>0.61344537815126055</v>
      </c>
      <c r="M41" s="30">
        <f>H41/SUM(F41,-G41,H41:I41)</f>
        <v>0.28571428571428575</v>
      </c>
      <c r="N41" s="31">
        <f>I41/SUM(F41-G41,,H41:I41)</f>
        <v>0.1008403361344538</v>
      </c>
    </row>
    <row r="42" spans="1:25" s="8" customFormat="1" ht="18.75" x14ac:dyDescent="0.3">
      <c r="A42" s="32" t="s">
        <v>155</v>
      </c>
      <c r="B42" s="6">
        <v>29.9</v>
      </c>
      <c r="C42" s="142">
        <f t="shared" si="13"/>
        <v>1.054573</v>
      </c>
      <c r="D42" s="23">
        <f t="shared" si="16"/>
        <v>6.591710758377424E-2</v>
      </c>
      <c r="E42" s="6">
        <f t="shared" si="17"/>
        <v>128.5</v>
      </c>
      <c r="F42" s="24">
        <v>22</v>
      </c>
      <c r="G42" s="25">
        <v>2</v>
      </c>
      <c r="H42" s="25">
        <v>4.5</v>
      </c>
      <c r="I42" s="26">
        <v>2</v>
      </c>
      <c r="J42" s="27">
        <f t="shared" si="18"/>
        <v>4.2976588628762542</v>
      </c>
      <c r="K42" s="28">
        <f t="shared" si="7"/>
        <v>0.88628762541806028</v>
      </c>
      <c r="L42" s="29">
        <f t="shared" si="19"/>
        <v>0.75471698113207553</v>
      </c>
      <c r="M42" s="30">
        <f t="shared" si="20"/>
        <v>0.16981132075471697</v>
      </c>
      <c r="N42" s="31">
        <f t="shared" si="21"/>
        <v>7.5471698113207544E-2</v>
      </c>
    </row>
    <row r="43" spans="1:25" s="8" customFormat="1" ht="18.75" x14ac:dyDescent="0.3">
      <c r="A43" s="36" t="s">
        <v>226</v>
      </c>
      <c r="B43" s="6">
        <v>45</v>
      </c>
      <c r="C43" s="143">
        <f>B43*0.03527</f>
        <v>1.5871500000000001</v>
      </c>
      <c r="D43" s="23">
        <f>B43/453.6</f>
        <v>9.9206349206349201E-2</v>
      </c>
      <c r="E43" s="6">
        <v>190</v>
      </c>
      <c r="F43" s="24">
        <v>0</v>
      </c>
      <c r="G43" s="25">
        <v>0</v>
      </c>
      <c r="H43" s="25">
        <v>16</v>
      </c>
      <c r="I43" s="26">
        <v>12</v>
      </c>
      <c r="J43" s="27">
        <f>E43/B43</f>
        <v>4.2222222222222223</v>
      </c>
      <c r="K43" s="28">
        <f t="shared" ref="K43" si="22">SUM(F43,-G43,H43,I43)/B43</f>
        <v>0.62222222222222223</v>
      </c>
      <c r="L43" s="29">
        <f t="shared" ref="L43" si="23">(F43-G43)/SUM(F43-G43,H43:I43)</f>
        <v>0</v>
      </c>
      <c r="M43" s="30">
        <f t="shared" ref="M43" si="24">H43/SUM(F43,-G43,H43:I43)</f>
        <v>0.5714285714285714</v>
      </c>
      <c r="N43" s="31">
        <f t="shared" ref="N43" si="25">I43/SUM(F43-G43,,H43:I43)</f>
        <v>0.42857142857142855</v>
      </c>
      <c r="O43" s="2"/>
    </row>
    <row r="44" spans="1:25" s="8" customFormat="1" ht="18.75" x14ac:dyDescent="0.3">
      <c r="A44" s="148" t="s">
        <v>66</v>
      </c>
      <c r="B44" s="61">
        <v>55</v>
      </c>
      <c r="C44" s="144">
        <f t="shared" si="13"/>
        <v>1.9398500000000001</v>
      </c>
      <c r="D44" s="51">
        <f t="shared" si="16"/>
        <v>0.12125220458553791</v>
      </c>
      <c r="E44" s="61">
        <f t="shared" si="17"/>
        <v>233</v>
      </c>
      <c r="F44" s="57">
        <v>31</v>
      </c>
      <c r="G44" s="58">
        <v>3</v>
      </c>
      <c r="H44" s="58">
        <v>9</v>
      </c>
      <c r="I44" s="59">
        <v>10</v>
      </c>
      <c r="J44" s="52">
        <f t="shared" si="18"/>
        <v>4.2363636363636363</v>
      </c>
      <c r="K44" s="53">
        <f t="shared" si="7"/>
        <v>0.8545454545454545</v>
      </c>
      <c r="L44" s="54">
        <f t="shared" si="19"/>
        <v>0.5957446808510638</v>
      </c>
      <c r="M44" s="55">
        <f t="shared" si="20"/>
        <v>0.19148936170212766</v>
      </c>
      <c r="N44" s="56">
        <f t="shared" si="21"/>
        <v>0.21276595744680851</v>
      </c>
      <c r="O44" s="2"/>
    </row>
    <row r="45" spans="1:25" s="8" customFormat="1" ht="18.75" x14ac:dyDescent="0.3">
      <c r="A45" s="32" t="s">
        <v>109</v>
      </c>
      <c r="B45" s="6">
        <v>5</v>
      </c>
      <c r="C45" s="142">
        <f t="shared" si="13"/>
        <v>0.17635000000000001</v>
      </c>
      <c r="D45" s="23">
        <f t="shared" si="16"/>
        <v>1.1022927689594356E-2</v>
      </c>
      <c r="E45" s="6">
        <f t="shared" si="17"/>
        <v>21</v>
      </c>
      <c r="F45" s="24">
        <v>0.2</v>
      </c>
      <c r="G45" s="25">
        <v>0</v>
      </c>
      <c r="H45" s="25">
        <v>1.4</v>
      </c>
      <c r="I45" s="26">
        <v>1.9</v>
      </c>
      <c r="J45" s="27">
        <f t="shared" si="18"/>
        <v>4.2</v>
      </c>
      <c r="K45" s="28">
        <f t="shared" si="7"/>
        <v>0.7</v>
      </c>
      <c r="L45" s="29">
        <f t="shared" si="19"/>
        <v>5.7142857142857148E-2</v>
      </c>
      <c r="M45" s="30">
        <f t="shared" si="20"/>
        <v>0.39999999999999997</v>
      </c>
      <c r="N45" s="31">
        <f t="shared" si="21"/>
        <v>0.54285714285714282</v>
      </c>
    </row>
    <row r="46" spans="1:25" s="8" customFormat="1" ht="18.75" x14ac:dyDescent="0.3">
      <c r="A46" s="32" t="s">
        <v>88</v>
      </c>
      <c r="B46" s="6">
        <v>28</v>
      </c>
      <c r="C46" s="143">
        <f t="shared" si="13"/>
        <v>0.9875600000000001</v>
      </c>
      <c r="D46" s="23">
        <f t="shared" si="16"/>
        <v>6.1728395061728392E-2</v>
      </c>
      <c r="E46" s="6">
        <f t="shared" si="17"/>
        <v>114</v>
      </c>
      <c r="F46" s="24">
        <v>17</v>
      </c>
      <c r="G46" s="25">
        <v>3</v>
      </c>
      <c r="H46" s="25">
        <v>6</v>
      </c>
      <c r="I46" s="26">
        <v>1</v>
      </c>
      <c r="J46" s="27">
        <f t="shared" si="18"/>
        <v>4.0714285714285712</v>
      </c>
      <c r="K46" s="28">
        <f t="shared" si="7"/>
        <v>0.75</v>
      </c>
      <c r="L46" s="29">
        <f t="shared" si="19"/>
        <v>0.66666666666666663</v>
      </c>
      <c r="M46" s="30">
        <f t="shared" si="20"/>
        <v>0.2857142857142857</v>
      </c>
      <c r="N46" s="31">
        <f t="shared" si="21"/>
        <v>4.7619047619047616E-2</v>
      </c>
      <c r="O46" s="2"/>
    </row>
    <row r="47" spans="1:25" s="8" customFormat="1" ht="18.75" hidden="1" customHeight="1" thickBot="1" x14ac:dyDescent="0.3">
      <c r="A47" s="32" t="s">
        <v>92</v>
      </c>
      <c r="B47" s="61">
        <v>63</v>
      </c>
      <c r="C47" s="144">
        <f t="shared" si="13"/>
        <v>2.22201</v>
      </c>
      <c r="D47" s="51">
        <f t="shared" si="16"/>
        <v>0.1388888888888889</v>
      </c>
      <c r="E47" s="61">
        <f t="shared" si="17"/>
        <v>165.5</v>
      </c>
      <c r="F47" s="57">
        <v>39</v>
      </c>
      <c r="G47" s="58">
        <v>14</v>
      </c>
      <c r="H47" s="58">
        <v>1.5</v>
      </c>
      <c r="I47" s="59">
        <v>13</v>
      </c>
      <c r="J47" s="52">
        <f t="shared" si="18"/>
        <v>2.626984126984127</v>
      </c>
      <c r="K47" s="53">
        <f t="shared" si="7"/>
        <v>0.62698412698412698</v>
      </c>
      <c r="L47" s="54">
        <f t="shared" si="19"/>
        <v>0.63291139240506333</v>
      </c>
      <c r="M47" s="55">
        <f t="shared" si="20"/>
        <v>3.7974683544303799E-2</v>
      </c>
      <c r="N47" s="56">
        <f t="shared" si="21"/>
        <v>0.32911392405063289</v>
      </c>
    </row>
    <row r="48" spans="1:25" s="4" customFormat="1" ht="18.75" x14ac:dyDescent="0.3">
      <c r="A48" s="90" t="s">
        <v>138</v>
      </c>
      <c r="B48" s="6">
        <v>29.8</v>
      </c>
      <c r="C48" s="142">
        <f t="shared" si="13"/>
        <v>1.0510460000000001</v>
      </c>
      <c r="D48" s="23">
        <f t="shared" si="16"/>
        <v>6.569664902998236E-2</v>
      </c>
      <c r="E48" s="6">
        <f t="shared" si="17"/>
        <v>121</v>
      </c>
      <c r="F48" s="24">
        <v>28</v>
      </c>
      <c r="G48" s="25">
        <v>0</v>
      </c>
      <c r="H48" s="25">
        <v>1</v>
      </c>
      <c r="I48" s="26">
        <v>0</v>
      </c>
      <c r="J48" s="27">
        <f t="shared" si="18"/>
        <v>4.0604026845637584</v>
      </c>
      <c r="K48" s="28">
        <f t="shared" si="7"/>
        <v>0.97315436241610731</v>
      </c>
      <c r="L48" s="29">
        <f t="shared" si="19"/>
        <v>0.96551724137931039</v>
      </c>
      <c r="M48" s="30">
        <f t="shared" si="20"/>
        <v>3.4482758620689655E-2</v>
      </c>
      <c r="N48" s="31">
        <f t="shared" si="21"/>
        <v>0</v>
      </c>
      <c r="O48" s="2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4" customFormat="1" ht="18.75" x14ac:dyDescent="0.3">
      <c r="A49" s="32" t="s">
        <v>11</v>
      </c>
      <c r="B49" s="6">
        <v>10</v>
      </c>
      <c r="C49" s="142">
        <f t="shared" si="13"/>
        <v>0.35270000000000001</v>
      </c>
      <c r="D49" s="23">
        <f t="shared" si="16"/>
        <v>2.2045855379188711E-2</v>
      </c>
      <c r="E49" s="6">
        <f t="shared" si="17"/>
        <v>40.599999999999994</v>
      </c>
      <c r="F49" s="24">
        <v>0.2</v>
      </c>
      <c r="G49" s="25">
        <v>0</v>
      </c>
      <c r="H49" s="25">
        <v>3.4</v>
      </c>
      <c r="I49" s="26">
        <v>2.2999999999999998</v>
      </c>
      <c r="J49" s="27">
        <f t="shared" si="18"/>
        <v>4.0599999999999996</v>
      </c>
      <c r="K49" s="28">
        <f t="shared" si="7"/>
        <v>0.59000000000000008</v>
      </c>
      <c r="L49" s="29">
        <f t="shared" si="19"/>
        <v>3.3898305084745763E-2</v>
      </c>
      <c r="M49" s="30">
        <f t="shared" si="20"/>
        <v>0.57627118644067787</v>
      </c>
      <c r="N49" s="31">
        <f t="shared" si="21"/>
        <v>0.38983050847457623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8" customFormat="1" ht="18.75" x14ac:dyDescent="0.3">
      <c r="A50" s="32" t="s">
        <v>152</v>
      </c>
      <c r="B50" s="6">
        <v>79</v>
      </c>
      <c r="C50" s="142">
        <v>2.7863300000000004</v>
      </c>
      <c r="D50" s="23">
        <f t="shared" si="16"/>
        <v>0.17416225749559083</v>
      </c>
      <c r="E50" s="6">
        <f t="shared" si="17"/>
        <v>319</v>
      </c>
      <c r="F50" s="24">
        <v>49</v>
      </c>
      <c r="G50" s="25">
        <v>5</v>
      </c>
      <c r="H50" s="25">
        <v>11</v>
      </c>
      <c r="I50" s="26">
        <v>11</v>
      </c>
      <c r="J50" s="27">
        <f t="shared" si="18"/>
        <v>4.037974683544304</v>
      </c>
      <c r="K50" s="28">
        <f t="shared" si="7"/>
        <v>0.83544303797468356</v>
      </c>
      <c r="L50" s="29">
        <f t="shared" si="19"/>
        <v>0.66666666666666663</v>
      </c>
      <c r="M50" s="30">
        <f t="shared" si="20"/>
        <v>0.16666666666666666</v>
      </c>
      <c r="N50" s="31">
        <f t="shared" si="21"/>
        <v>0.16666666666666666</v>
      </c>
    </row>
    <row r="51" spans="1:25" s="8" customFormat="1" ht="18.75" x14ac:dyDescent="0.3">
      <c r="A51" s="32" t="s">
        <v>131</v>
      </c>
      <c r="B51" s="6">
        <v>28</v>
      </c>
      <c r="C51" s="142">
        <f>B51*0.03527</f>
        <v>0.9875600000000001</v>
      </c>
      <c r="D51" s="23">
        <f t="shared" si="16"/>
        <v>6.1728395061728392E-2</v>
      </c>
      <c r="E51" s="6">
        <f t="shared" si="17"/>
        <v>113</v>
      </c>
      <c r="F51" s="24">
        <v>1</v>
      </c>
      <c r="G51" s="25">
        <v>0</v>
      </c>
      <c r="H51" s="25">
        <v>9</v>
      </c>
      <c r="I51" s="26">
        <v>7</v>
      </c>
      <c r="J51" s="27">
        <f t="shared" si="18"/>
        <v>4.0357142857142856</v>
      </c>
      <c r="K51" s="71">
        <f t="shared" si="7"/>
        <v>0.6071428571428571</v>
      </c>
      <c r="L51" s="29">
        <f t="shared" si="19"/>
        <v>5.8823529411764705E-2</v>
      </c>
      <c r="M51" s="30">
        <f t="shared" si="20"/>
        <v>0.52941176470588236</v>
      </c>
      <c r="N51" s="31">
        <f t="shared" si="21"/>
        <v>0.41176470588235292</v>
      </c>
      <c r="O51" s="2"/>
    </row>
    <row r="52" spans="1:25" s="8" customFormat="1" ht="18" customHeight="1" x14ac:dyDescent="0.3">
      <c r="A52" s="32" t="s">
        <v>166</v>
      </c>
      <c r="B52" s="6">
        <v>60</v>
      </c>
      <c r="C52" s="142">
        <f>B52*0.03527</f>
        <v>2.1162000000000001</v>
      </c>
      <c r="D52" s="23">
        <f t="shared" si="16"/>
        <v>0.13227513227513227</v>
      </c>
      <c r="E52" s="6">
        <f t="shared" si="17"/>
        <v>242</v>
      </c>
      <c r="F52" s="24">
        <v>6</v>
      </c>
      <c r="G52" s="25">
        <v>0</v>
      </c>
      <c r="H52" s="25">
        <v>18</v>
      </c>
      <c r="I52" s="26">
        <v>14</v>
      </c>
      <c r="J52" s="27">
        <f t="shared" si="18"/>
        <v>4.0333333333333332</v>
      </c>
      <c r="K52" s="28">
        <f t="shared" si="7"/>
        <v>0.6333333333333333</v>
      </c>
      <c r="L52" s="29">
        <f t="shared" si="19"/>
        <v>0.15789473684210525</v>
      </c>
      <c r="M52" s="30">
        <f t="shared" si="20"/>
        <v>0.47368421052631576</v>
      </c>
      <c r="N52" s="31">
        <f t="shared" si="21"/>
        <v>0.36842105263157893</v>
      </c>
      <c r="O52" s="2"/>
    </row>
    <row r="53" spans="1:25" s="8" customFormat="1" ht="18.75" customHeight="1" x14ac:dyDescent="0.3">
      <c r="A53" s="148" t="s">
        <v>139</v>
      </c>
      <c r="B53" s="61">
        <v>24</v>
      </c>
      <c r="C53" s="147">
        <f>B53*0.03527</f>
        <v>0.84648000000000012</v>
      </c>
      <c r="D53" s="51">
        <f t="shared" si="16"/>
        <v>5.2910052910052907E-2</v>
      </c>
      <c r="E53" s="61">
        <f t="shared" si="17"/>
        <v>96</v>
      </c>
      <c r="F53" s="57">
        <v>24</v>
      </c>
      <c r="G53" s="58">
        <v>0</v>
      </c>
      <c r="H53" s="58">
        <v>0</v>
      </c>
      <c r="I53" s="96">
        <v>0</v>
      </c>
      <c r="J53" s="98">
        <f t="shared" si="18"/>
        <v>4</v>
      </c>
      <c r="K53" s="53">
        <f t="shared" si="7"/>
        <v>1</v>
      </c>
      <c r="L53" s="54">
        <f t="shared" si="19"/>
        <v>1</v>
      </c>
      <c r="M53" s="55">
        <f t="shared" si="20"/>
        <v>0</v>
      </c>
      <c r="N53" s="56">
        <f t="shared" si="21"/>
        <v>0</v>
      </c>
      <c r="O53" s="2"/>
    </row>
    <row r="54" spans="1:25" s="8" customFormat="1" ht="19.5" thickBot="1" x14ac:dyDescent="0.35">
      <c r="A54" s="121" t="s">
        <v>153</v>
      </c>
      <c r="B54" s="7">
        <v>17</v>
      </c>
      <c r="C54" s="149">
        <f>B54*0.03527</f>
        <v>0.59959000000000007</v>
      </c>
      <c r="D54" s="40">
        <f t="shared" si="16"/>
        <v>3.7477954144620809E-2</v>
      </c>
      <c r="E54" s="7">
        <f t="shared" si="17"/>
        <v>67.8</v>
      </c>
      <c r="F54" s="41">
        <v>11.7</v>
      </c>
      <c r="G54" s="42">
        <v>0.5</v>
      </c>
      <c r="H54" s="42">
        <v>2.2000000000000002</v>
      </c>
      <c r="I54" s="43">
        <v>0.8</v>
      </c>
      <c r="J54" s="109">
        <f t="shared" si="18"/>
        <v>3.9882352941176471</v>
      </c>
      <c r="K54" s="45">
        <f t="shared" si="7"/>
        <v>0.83529411764705874</v>
      </c>
      <c r="L54" s="46">
        <f t="shared" si="19"/>
        <v>0.78873239436619713</v>
      </c>
      <c r="M54" s="47">
        <f t="shared" si="20"/>
        <v>0.15492957746478875</v>
      </c>
      <c r="N54" s="48">
        <f t="shared" si="21"/>
        <v>5.6338028169014093E-2</v>
      </c>
      <c r="O54" s="2"/>
    </row>
    <row r="55" spans="1:25" s="8" customFormat="1" ht="24" thickBot="1" x14ac:dyDescent="0.4">
      <c r="A55" s="172" t="s">
        <v>83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4"/>
    </row>
    <row r="56" spans="1:25" s="8" customFormat="1" ht="18.75" x14ac:dyDescent="0.3">
      <c r="A56" s="32" t="s">
        <v>67</v>
      </c>
      <c r="B56" s="9">
        <v>48</v>
      </c>
      <c r="C56" s="150">
        <f t="shared" ref="C56:C91" si="26">B56*0.03527</f>
        <v>1.6929600000000002</v>
      </c>
      <c r="D56" s="11">
        <f t="shared" ref="D56:D91" si="27">B56/453.6</f>
        <v>0.10582010582010581</v>
      </c>
      <c r="E56" s="5">
        <f t="shared" ref="E56:E91" si="28">(4*SUM(F56-G56,I56))+(9*H56)</f>
        <v>187</v>
      </c>
      <c r="F56" s="12">
        <v>25</v>
      </c>
      <c r="G56" s="12">
        <v>3</v>
      </c>
      <c r="H56" s="12">
        <v>7</v>
      </c>
      <c r="I56" s="151">
        <v>9</v>
      </c>
      <c r="J56" s="15">
        <f t="shared" ref="J56:J91" si="29">E56/B56</f>
        <v>3.8958333333333335</v>
      </c>
      <c r="K56" s="16">
        <f t="shared" ref="K56:K91" si="30">SUM(F56,-G56,H56,I56)/B56</f>
        <v>0.79166666666666663</v>
      </c>
      <c r="L56" s="17">
        <f t="shared" ref="L56:L91" si="31">(F56-G56)/SUM(F56-G56,H56:I56)</f>
        <v>0.57894736842105265</v>
      </c>
      <c r="M56" s="18">
        <f t="shared" ref="M56:M91" si="32">H56/SUM(F56,-G56,H56:I56)</f>
        <v>0.18421052631578946</v>
      </c>
      <c r="N56" s="19">
        <f t="shared" ref="N56:N91" si="33">I56/SUM(F56-G56,,H56:I56)</f>
        <v>0.23684210526315788</v>
      </c>
    </row>
    <row r="57" spans="1:25" s="8" customFormat="1" ht="18.75" x14ac:dyDescent="0.3">
      <c r="A57" s="32" t="s">
        <v>165</v>
      </c>
      <c r="B57" s="21">
        <v>56</v>
      </c>
      <c r="C57" s="23">
        <f t="shared" si="26"/>
        <v>1.9751200000000002</v>
      </c>
      <c r="D57" s="23">
        <f t="shared" si="27"/>
        <v>0.12345679012345678</v>
      </c>
      <c r="E57" s="6">
        <f t="shared" si="28"/>
        <v>218</v>
      </c>
      <c r="F57" s="24">
        <v>0</v>
      </c>
      <c r="G57" s="24">
        <v>0</v>
      </c>
      <c r="H57" s="24">
        <v>18</v>
      </c>
      <c r="I57" s="24">
        <v>14</v>
      </c>
      <c r="J57" s="27">
        <f t="shared" si="29"/>
        <v>3.8928571428571428</v>
      </c>
      <c r="K57" s="71">
        <f t="shared" si="30"/>
        <v>0.5714285714285714</v>
      </c>
      <c r="L57" s="29">
        <f t="shared" si="31"/>
        <v>0</v>
      </c>
      <c r="M57" s="30">
        <f t="shared" si="32"/>
        <v>0.5625</v>
      </c>
      <c r="N57" s="31">
        <f t="shared" si="33"/>
        <v>0.4375</v>
      </c>
      <c r="O57" s="2"/>
    </row>
    <row r="58" spans="1:25" s="4" customFormat="1" ht="18.75" x14ac:dyDescent="0.3">
      <c r="A58" s="36" t="s">
        <v>159</v>
      </c>
      <c r="B58" s="6">
        <v>100</v>
      </c>
      <c r="C58" s="23">
        <f>B58/453.6</f>
        <v>0.22045855379188711</v>
      </c>
      <c r="D58" s="23">
        <f t="shared" si="27"/>
        <v>0.22045855379188711</v>
      </c>
      <c r="E58" s="6">
        <v>375</v>
      </c>
      <c r="F58" s="79">
        <f>E58/B58</f>
        <v>3.75</v>
      </c>
      <c r="G58" s="34">
        <v>64</v>
      </c>
      <c r="H58" s="34">
        <v>6</v>
      </c>
      <c r="I58" s="35">
        <v>4</v>
      </c>
      <c r="J58" s="27">
        <f t="shared" si="29"/>
        <v>3.75</v>
      </c>
      <c r="K58" s="28">
        <f>SUM(G58,-H58,I58,J58)/B58</f>
        <v>0.65749999999999997</v>
      </c>
      <c r="L58" s="29">
        <f t="shared" ref="L58" si="34">(G58-H58)/SUM(G58-H58,I58:J58)</f>
        <v>0.88212927756653992</v>
      </c>
      <c r="M58" s="30">
        <f t="shared" ref="M58" si="35">I58/SUM(G58,-H58,I58:J58)</f>
        <v>6.0836501901140684E-2</v>
      </c>
      <c r="N58" s="31">
        <f t="shared" ref="N58" si="36">J58/SUM(G58-H58,,I58:J58)</f>
        <v>5.7034220532319393E-2</v>
      </c>
      <c r="O58" s="2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s="8" customFormat="1" ht="18.75" x14ac:dyDescent="0.3">
      <c r="A59" s="32" t="s">
        <v>89</v>
      </c>
      <c r="B59" s="21">
        <v>28</v>
      </c>
      <c r="C59" s="23">
        <f t="shared" si="26"/>
        <v>0.9875600000000001</v>
      </c>
      <c r="D59" s="23">
        <f t="shared" si="27"/>
        <v>6.1728395061728392E-2</v>
      </c>
      <c r="E59" s="6">
        <f t="shared" si="28"/>
        <v>103</v>
      </c>
      <c r="F59" s="24">
        <v>1</v>
      </c>
      <c r="G59" s="25">
        <v>0</v>
      </c>
      <c r="H59" s="25">
        <v>7</v>
      </c>
      <c r="I59" s="26">
        <v>9</v>
      </c>
      <c r="J59" s="79">
        <f t="shared" si="29"/>
        <v>3.6785714285714284</v>
      </c>
      <c r="K59" s="28">
        <f t="shared" si="30"/>
        <v>0.6071428571428571</v>
      </c>
      <c r="L59" s="29">
        <f t="shared" si="31"/>
        <v>5.8823529411764705E-2</v>
      </c>
      <c r="M59" s="30">
        <f t="shared" si="32"/>
        <v>0.41176470588235292</v>
      </c>
      <c r="N59" s="31">
        <f t="shared" si="33"/>
        <v>0.52941176470588236</v>
      </c>
      <c r="O59" s="2"/>
    </row>
    <row r="60" spans="1:25" s="8" customFormat="1" ht="18.75" x14ac:dyDescent="0.3">
      <c r="A60" s="32" t="s">
        <v>8</v>
      </c>
      <c r="B60" s="21">
        <v>30</v>
      </c>
      <c r="C60" s="92">
        <f t="shared" si="26"/>
        <v>1.0581</v>
      </c>
      <c r="D60" s="23">
        <f t="shared" si="27"/>
        <v>6.6137566137566134E-2</v>
      </c>
      <c r="E60" s="6">
        <f t="shared" si="28"/>
        <v>110</v>
      </c>
      <c r="F60" s="24">
        <v>0</v>
      </c>
      <c r="G60" s="25">
        <v>0</v>
      </c>
      <c r="H60" s="25">
        <v>10</v>
      </c>
      <c r="I60" s="26">
        <v>5</v>
      </c>
      <c r="J60" s="79">
        <f t="shared" si="29"/>
        <v>3.6666666666666665</v>
      </c>
      <c r="K60" s="28">
        <f t="shared" si="30"/>
        <v>0.5</v>
      </c>
      <c r="L60" s="29">
        <f t="shared" si="31"/>
        <v>0</v>
      </c>
      <c r="M60" s="30">
        <f t="shared" si="32"/>
        <v>0.66666666666666663</v>
      </c>
      <c r="N60" s="31">
        <f t="shared" si="33"/>
        <v>0.33333333333333331</v>
      </c>
      <c r="O60" s="2"/>
    </row>
    <row r="61" spans="1:25" s="4" customFormat="1" ht="21" customHeight="1" x14ac:dyDescent="0.3">
      <c r="A61" s="32" t="s">
        <v>96</v>
      </c>
      <c r="B61" s="21">
        <v>24</v>
      </c>
      <c r="C61" s="92">
        <f t="shared" si="26"/>
        <v>0.84648000000000012</v>
      </c>
      <c r="D61" s="23">
        <f t="shared" si="27"/>
        <v>5.2910052910052907E-2</v>
      </c>
      <c r="E61" s="6">
        <f t="shared" si="28"/>
        <v>88</v>
      </c>
      <c r="F61" s="33">
        <v>22</v>
      </c>
      <c r="G61" s="34">
        <v>0</v>
      </c>
      <c r="H61" s="34">
        <v>0</v>
      </c>
      <c r="I61" s="35">
        <v>0</v>
      </c>
      <c r="J61" s="79">
        <f t="shared" si="29"/>
        <v>3.6666666666666665</v>
      </c>
      <c r="K61" s="28">
        <f t="shared" si="30"/>
        <v>0.91666666666666663</v>
      </c>
      <c r="L61" s="29">
        <f t="shared" si="31"/>
        <v>1</v>
      </c>
      <c r="M61" s="30">
        <f t="shared" si="32"/>
        <v>0</v>
      </c>
      <c r="N61" s="31">
        <f t="shared" si="33"/>
        <v>0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s="8" customFormat="1" ht="18.75" x14ac:dyDescent="0.3">
      <c r="A62" s="20" t="s">
        <v>10</v>
      </c>
      <c r="B62" s="21">
        <v>28</v>
      </c>
      <c r="C62" s="92">
        <f t="shared" si="26"/>
        <v>0.9875600000000001</v>
      </c>
      <c r="D62" s="23">
        <f t="shared" si="27"/>
        <v>6.1728395061728392E-2</v>
      </c>
      <c r="E62" s="6">
        <f t="shared" si="28"/>
        <v>102</v>
      </c>
      <c r="F62" s="24">
        <v>14</v>
      </c>
      <c r="G62" s="25">
        <v>3</v>
      </c>
      <c r="H62" s="25">
        <v>6</v>
      </c>
      <c r="I62" s="26">
        <v>1</v>
      </c>
      <c r="J62" s="27">
        <f t="shared" si="29"/>
        <v>3.6428571428571428</v>
      </c>
      <c r="K62" s="71">
        <f t="shared" si="30"/>
        <v>0.6428571428571429</v>
      </c>
      <c r="L62" s="103">
        <f t="shared" si="31"/>
        <v>0.61111111111111116</v>
      </c>
      <c r="M62" s="30">
        <f t="shared" si="32"/>
        <v>0.33333333333333331</v>
      </c>
      <c r="N62" s="31">
        <f t="shared" si="33"/>
        <v>5.5555555555555552E-2</v>
      </c>
    </row>
    <row r="63" spans="1:25" s="8" customFormat="1" ht="18.75" x14ac:dyDescent="0.3">
      <c r="A63" s="32" t="s">
        <v>151</v>
      </c>
      <c r="B63" s="21">
        <f>B56/2+28</f>
        <v>52</v>
      </c>
      <c r="C63" s="92">
        <f t="shared" si="26"/>
        <v>1.8340400000000001</v>
      </c>
      <c r="D63" s="23">
        <f t="shared" si="27"/>
        <v>0.1146384479717813</v>
      </c>
      <c r="E63" s="6">
        <f t="shared" si="28"/>
        <v>199</v>
      </c>
      <c r="F63" s="24">
        <f>F56/2+22</f>
        <v>34.5</v>
      </c>
      <c r="G63" s="25">
        <f>G56/2+2</f>
        <v>3.5</v>
      </c>
      <c r="H63" s="25">
        <f>H56/2+1.5</f>
        <v>5</v>
      </c>
      <c r="I63" s="26">
        <f>I56/2+3</f>
        <v>7.5</v>
      </c>
      <c r="J63" s="79">
        <f t="shared" si="29"/>
        <v>3.8269230769230771</v>
      </c>
      <c r="K63" s="28">
        <f t="shared" si="30"/>
        <v>0.83653846153846156</v>
      </c>
      <c r="L63" s="29">
        <f t="shared" si="31"/>
        <v>0.71264367816091956</v>
      </c>
      <c r="M63" s="30">
        <f t="shared" si="32"/>
        <v>0.11494252873563218</v>
      </c>
      <c r="N63" s="31">
        <f t="shared" si="33"/>
        <v>0.17241379310344829</v>
      </c>
    </row>
    <row r="64" spans="1:25" s="8" customFormat="1" ht="18.75" x14ac:dyDescent="0.3">
      <c r="A64" s="20" t="s">
        <v>71</v>
      </c>
      <c r="B64" s="21">
        <v>36</v>
      </c>
      <c r="C64" s="92">
        <f t="shared" si="26"/>
        <v>1.2697200000000002</v>
      </c>
      <c r="D64" s="23">
        <f t="shared" si="27"/>
        <v>7.9365079365079361E-2</v>
      </c>
      <c r="E64" s="6">
        <f t="shared" si="28"/>
        <v>129</v>
      </c>
      <c r="F64" s="33">
        <v>26</v>
      </c>
      <c r="G64" s="34">
        <v>1</v>
      </c>
      <c r="H64" s="34">
        <v>1</v>
      </c>
      <c r="I64" s="35">
        <v>5</v>
      </c>
      <c r="J64" s="27">
        <f t="shared" si="29"/>
        <v>3.5833333333333335</v>
      </c>
      <c r="K64" s="71">
        <f t="shared" si="30"/>
        <v>0.86111111111111116</v>
      </c>
      <c r="L64" s="103">
        <f t="shared" si="31"/>
        <v>0.80645161290322576</v>
      </c>
      <c r="M64" s="30">
        <f t="shared" si="32"/>
        <v>3.2258064516129031E-2</v>
      </c>
      <c r="N64" s="31">
        <f t="shared" si="33"/>
        <v>0.16129032258064516</v>
      </c>
      <c r="O64" s="2"/>
    </row>
    <row r="65" spans="1:25" s="8" customFormat="1" ht="18.75" x14ac:dyDescent="0.3">
      <c r="A65" s="32" t="s">
        <v>134</v>
      </c>
      <c r="B65" s="21">
        <v>26.4</v>
      </c>
      <c r="C65" s="23">
        <f t="shared" si="26"/>
        <v>0.93112800000000007</v>
      </c>
      <c r="D65" s="23">
        <f t="shared" si="27"/>
        <v>5.8201058201058198E-2</v>
      </c>
      <c r="E65" s="6">
        <f t="shared" si="28"/>
        <v>94</v>
      </c>
      <c r="F65" s="24">
        <v>10</v>
      </c>
      <c r="G65" s="25">
        <v>2</v>
      </c>
      <c r="H65" s="25">
        <v>6</v>
      </c>
      <c r="I65" s="26">
        <v>2</v>
      </c>
      <c r="J65" s="79">
        <f t="shared" si="29"/>
        <v>3.560606060606061</v>
      </c>
      <c r="K65" s="28">
        <f t="shared" si="30"/>
        <v>0.60606060606060608</v>
      </c>
      <c r="L65" s="29">
        <f t="shared" si="31"/>
        <v>0.5</v>
      </c>
      <c r="M65" s="30">
        <f t="shared" si="32"/>
        <v>0.375</v>
      </c>
      <c r="N65" s="31">
        <f t="shared" si="33"/>
        <v>0.125</v>
      </c>
      <c r="O65" s="2"/>
    </row>
    <row r="66" spans="1:25" s="8" customFormat="1" ht="18.75" x14ac:dyDescent="0.3">
      <c r="A66" s="90" t="s">
        <v>130</v>
      </c>
      <c r="B66" s="21">
        <v>35</v>
      </c>
      <c r="C66" s="23">
        <f t="shared" si="26"/>
        <v>1.23445</v>
      </c>
      <c r="D66" s="23">
        <f t="shared" si="27"/>
        <v>7.716049382716049E-2</v>
      </c>
      <c r="E66" s="6">
        <f t="shared" si="28"/>
        <v>122.7</v>
      </c>
      <c r="F66" s="24">
        <v>27.3</v>
      </c>
      <c r="G66" s="25">
        <v>2.8</v>
      </c>
      <c r="H66" s="25">
        <v>1.5</v>
      </c>
      <c r="I66" s="26">
        <v>2.8</v>
      </c>
      <c r="J66" s="79">
        <f t="shared" si="29"/>
        <v>3.5057142857142858</v>
      </c>
      <c r="K66" s="28">
        <f t="shared" si="30"/>
        <v>0.82285714285714284</v>
      </c>
      <c r="L66" s="29">
        <f t="shared" si="31"/>
        <v>0.85069444444444442</v>
      </c>
      <c r="M66" s="30">
        <f t="shared" si="32"/>
        <v>5.2083333333333329E-2</v>
      </c>
      <c r="N66" s="31">
        <f t="shared" si="33"/>
        <v>9.722222222222221E-2</v>
      </c>
      <c r="O66" s="2"/>
    </row>
    <row r="67" spans="1:25" s="8" customFormat="1" ht="18.75" x14ac:dyDescent="0.3">
      <c r="A67" s="32" t="s">
        <v>68</v>
      </c>
      <c r="B67" s="21">
        <v>68</v>
      </c>
      <c r="C67" s="92">
        <f t="shared" si="26"/>
        <v>2.3983600000000003</v>
      </c>
      <c r="D67" s="23">
        <f t="shared" si="27"/>
        <v>0.14991181657848324</v>
      </c>
      <c r="E67" s="6">
        <f t="shared" si="28"/>
        <v>237</v>
      </c>
      <c r="F67" s="24">
        <v>43</v>
      </c>
      <c r="G67" s="25">
        <v>5</v>
      </c>
      <c r="H67" s="25">
        <v>5</v>
      </c>
      <c r="I67" s="26">
        <v>10</v>
      </c>
      <c r="J67" s="79">
        <f t="shared" si="29"/>
        <v>3.4852941176470589</v>
      </c>
      <c r="K67" s="28">
        <f t="shared" si="30"/>
        <v>0.77941176470588236</v>
      </c>
      <c r="L67" s="29">
        <f t="shared" si="31"/>
        <v>0.71698113207547165</v>
      </c>
      <c r="M67" s="30">
        <f t="shared" si="32"/>
        <v>9.4339622641509441E-2</v>
      </c>
      <c r="N67" s="31">
        <f t="shared" si="33"/>
        <v>0.18867924528301888</v>
      </c>
      <c r="O67" s="2"/>
    </row>
    <row r="68" spans="1:25" s="8" customFormat="1" ht="18.75" x14ac:dyDescent="0.3">
      <c r="A68" s="32" t="s">
        <v>132</v>
      </c>
      <c r="B68" s="21">
        <v>7</v>
      </c>
      <c r="C68" s="23">
        <f t="shared" si="26"/>
        <v>0.24689000000000003</v>
      </c>
      <c r="D68" s="23">
        <f t="shared" si="27"/>
        <v>1.5432098765432098E-2</v>
      </c>
      <c r="E68" s="6">
        <f t="shared" si="28"/>
        <v>24</v>
      </c>
      <c r="F68" s="24">
        <v>5</v>
      </c>
      <c r="G68" s="25">
        <v>0</v>
      </c>
      <c r="H68" s="25">
        <v>0</v>
      </c>
      <c r="I68" s="26">
        <v>1</v>
      </c>
      <c r="J68" s="79">
        <f t="shared" si="29"/>
        <v>3.4285714285714284</v>
      </c>
      <c r="K68" s="28">
        <f t="shared" si="30"/>
        <v>0.8571428571428571</v>
      </c>
      <c r="L68" s="29">
        <f t="shared" si="31"/>
        <v>0.83333333333333337</v>
      </c>
      <c r="M68" s="30">
        <f t="shared" si="32"/>
        <v>0</v>
      </c>
      <c r="N68" s="31">
        <f t="shared" si="33"/>
        <v>0.16666666666666666</v>
      </c>
      <c r="O68" s="2"/>
    </row>
    <row r="69" spans="1:25" s="8" customFormat="1" ht="18.75" x14ac:dyDescent="0.3">
      <c r="A69" s="32" t="s">
        <v>147</v>
      </c>
      <c r="B69" s="21">
        <v>52</v>
      </c>
      <c r="C69" s="92">
        <f t="shared" si="26"/>
        <v>1.8340400000000001</v>
      </c>
      <c r="D69" s="23">
        <f t="shared" si="27"/>
        <v>0.1146384479717813</v>
      </c>
      <c r="E69" s="6">
        <f t="shared" si="28"/>
        <v>177</v>
      </c>
      <c r="F69" s="24">
        <v>43</v>
      </c>
      <c r="G69" s="25">
        <v>5</v>
      </c>
      <c r="H69" s="25">
        <v>1</v>
      </c>
      <c r="I69" s="26">
        <v>4</v>
      </c>
      <c r="J69" s="79">
        <f t="shared" si="29"/>
        <v>3.4038461538461537</v>
      </c>
      <c r="K69" s="28">
        <f t="shared" si="30"/>
        <v>0.82692307692307687</v>
      </c>
      <c r="L69" s="29">
        <f t="shared" si="31"/>
        <v>0.88372093023255816</v>
      </c>
      <c r="M69" s="30">
        <f t="shared" si="32"/>
        <v>2.3255813953488372E-2</v>
      </c>
      <c r="N69" s="31">
        <f t="shared" si="33"/>
        <v>9.3023255813953487E-2</v>
      </c>
    </row>
    <row r="70" spans="1:25" s="8" customFormat="1" ht="18.75" x14ac:dyDescent="0.3">
      <c r="A70" s="32" t="s">
        <v>72</v>
      </c>
      <c r="B70" s="21">
        <v>85</v>
      </c>
      <c r="C70" s="92">
        <f t="shared" si="26"/>
        <v>2.9979500000000003</v>
      </c>
      <c r="D70" s="23">
        <f t="shared" si="27"/>
        <v>0.18738977072310406</v>
      </c>
      <c r="E70" s="6">
        <f t="shared" si="28"/>
        <v>288.60000000000002</v>
      </c>
      <c r="F70" s="24">
        <v>54.5</v>
      </c>
      <c r="G70" s="25">
        <v>5.6</v>
      </c>
      <c r="H70" s="25">
        <v>5</v>
      </c>
      <c r="I70" s="26">
        <v>12</v>
      </c>
      <c r="J70" s="79">
        <f t="shared" si="29"/>
        <v>3.395294117647059</v>
      </c>
      <c r="K70" s="28">
        <f t="shared" si="30"/>
        <v>0.77529411764705891</v>
      </c>
      <c r="L70" s="29">
        <f t="shared" si="31"/>
        <v>0.74203338391502272</v>
      </c>
      <c r="M70" s="30">
        <f t="shared" si="32"/>
        <v>7.5872534142640363E-2</v>
      </c>
      <c r="N70" s="31">
        <f t="shared" si="33"/>
        <v>0.18209408194233687</v>
      </c>
    </row>
    <row r="71" spans="1:25" s="8" customFormat="1" ht="18.75" x14ac:dyDescent="0.3">
      <c r="A71" s="32" t="s">
        <v>140</v>
      </c>
      <c r="B71" s="21">
        <v>25.5</v>
      </c>
      <c r="C71" s="60">
        <f t="shared" si="26"/>
        <v>0.8993850000000001</v>
      </c>
      <c r="D71" s="23">
        <f t="shared" si="27"/>
        <v>5.6216931216931214E-2</v>
      </c>
      <c r="E71" s="6">
        <f t="shared" si="28"/>
        <v>86</v>
      </c>
      <c r="F71" s="24">
        <v>17</v>
      </c>
      <c r="G71" s="25">
        <v>2</v>
      </c>
      <c r="H71" s="25">
        <v>2</v>
      </c>
      <c r="I71" s="26">
        <v>2</v>
      </c>
      <c r="J71" s="79">
        <f t="shared" si="29"/>
        <v>3.3725490196078431</v>
      </c>
      <c r="K71" s="28">
        <f t="shared" si="30"/>
        <v>0.74509803921568629</v>
      </c>
      <c r="L71" s="29">
        <f t="shared" si="31"/>
        <v>0.78947368421052633</v>
      </c>
      <c r="M71" s="30">
        <f t="shared" si="32"/>
        <v>0.10526315789473684</v>
      </c>
      <c r="N71" s="31">
        <f t="shared" si="33"/>
        <v>0.10526315789473684</v>
      </c>
      <c r="O71" s="102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8" customFormat="1" ht="18.75" x14ac:dyDescent="0.3">
      <c r="A72" s="32" t="s">
        <v>137</v>
      </c>
      <c r="B72" s="21">
        <v>49.6</v>
      </c>
      <c r="C72" s="92">
        <f t="shared" si="26"/>
        <v>1.7493920000000003</v>
      </c>
      <c r="D72" s="23">
        <f t="shared" si="27"/>
        <v>0.10934744268077601</v>
      </c>
      <c r="E72" s="6">
        <f t="shared" si="28"/>
        <v>165.5</v>
      </c>
      <c r="F72" s="24">
        <v>36</v>
      </c>
      <c r="G72" s="25">
        <v>2</v>
      </c>
      <c r="H72" s="25">
        <v>1.5</v>
      </c>
      <c r="I72" s="26">
        <v>4</v>
      </c>
      <c r="J72" s="27">
        <f t="shared" si="29"/>
        <v>3.3366935483870965</v>
      </c>
      <c r="K72" s="28">
        <f t="shared" si="30"/>
        <v>0.7963709677419355</v>
      </c>
      <c r="L72" s="29">
        <f t="shared" si="31"/>
        <v>0.86075949367088611</v>
      </c>
      <c r="M72" s="30">
        <f t="shared" si="32"/>
        <v>3.7974683544303799E-2</v>
      </c>
      <c r="N72" s="31">
        <f t="shared" si="33"/>
        <v>0.10126582278481013</v>
      </c>
      <c r="O72" s="2"/>
    </row>
    <row r="73" spans="1:25" s="8" customFormat="1" ht="18.75" x14ac:dyDescent="0.3">
      <c r="A73" s="32" t="s">
        <v>12</v>
      </c>
      <c r="B73" s="21">
        <v>28.3</v>
      </c>
      <c r="C73" s="92">
        <f t="shared" si="26"/>
        <v>0.99814100000000006</v>
      </c>
      <c r="D73" s="23">
        <f t="shared" si="27"/>
        <v>6.2389770723104053E-2</v>
      </c>
      <c r="E73" s="6">
        <f t="shared" si="28"/>
        <v>94</v>
      </c>
      <c r="F73" s="24">
        <v>4</v>
      </c>
      <c r="G73" s="25">
        <v>0</v>
      </c>
      <c r="H73" s="25">
        <v>6</v>
      </c>
      <c r="I73" s="26">
        <v>6</v>
      </c>
      <c r="J73" s="79">
        <f t="shared" si="29"/>
        <v>3.3215547703180213</v>
      </c>
      <c r="K73" s="28">
        <f t="shared" si="30"/>
        <v>0.56537102473498235</v>
      </c>
      <c r="L73" s="29">
        <f t="shared" si="31"/>
        <v>0.25</v>
      </c>
      <c r="M73" s="30">
        <f t="shared" si="32"/>
        <v>0.375</v>
      </c>
      <c r="N73" s="31">
        <f t="shared" si="33"/>
        <v>0.375</v>
      </c>
      <c r="O73" s="2"/>
    </row>
    <row r="74" spans="1:25" s="8" customFormat="1" ht="18.75" x14ac:dyDescent="0.3">
      <c r="A74" s="32" t="s">
        <v>42</v>
      </c>
      <c r="B74" s="21">
        <v>14</v>
      </c>
      <c r="C74" s="92">
        <f t="shared" si="26"/>
        <v>0.49378000000000005</v>
      </c>
      <c r="D74" s="23">
        <f t="shared" si="27"/>
        <v>3.0864197530864196E-2</v>
      </c>
      <c r="E74" s="6">
        <f t="shared" si="28"/>
        <v>44.9</v>
      </c>
      <c r="F74" s="24">
        <v>11.1</v>
      </c>
      <c r="G74" s="25">
        <v>0.5</v>
      </c>
      <c r="H74" s="25">
        <v>0.1</v>
      </c>
      <c r="I74" s="26">
        <v>0.4</v>
      </c>
      <c r="J74" s="79">
        <f t="shared" si="29"/>
        <v>3.2071428571428569</v>
      </c>
      <c r="K74" s="28">
        <f t="shared" si="30"/>
        <v>0.79285714285714282</v>
      </c>
      <c r="L74" s="29">
        <f t="shared" si="31"/>
        <v>0.95495495495495497</v>
      </c>
      <c r="M74" s="30">
        <f t="shared" si="32"/>
        <v>9.0090090090090089E-3</v>
      </c>
      <c r="N74" s="31">
        <f t="shared" si="33"/>
        <v>3.6036036036036036E-2</v>
      </c>
    </row>
    <row r="75" spans="1:25" s="8" customFormat="1" ht="18.75" x14ac:dyDescent="0.3">
      <c r="A75" s="32" t="s">
        <v>133</v>
      </c>
      <c r="B75" s="21">
        <v>14</v>
      </c>
      <c r="C75" s="23">
        <f t="shared" si="26"/>
        <v>0.49378000000000005</v>
      </c>
      <c r="D75" s="23">
        <f t="shared" si="27"/>
        <v>3.0864197530864196E-2</v>
      </c>
      <c r="E75" s="6">
        <f t="shared" si="28"/>
        <v>44</v>
      </c>
      <c r="F75" s="24">
        <v>12</v>
      </c>
      <c r="G75" s="25">
        <v>1</v>
      </c>
      <c r="H75" s="25">
        <v>0</v>
      </c>
      <c r="I75" s="26">
        <v>0</v>
      </c>
      <c r="J75" s="79">
        <f t="shared" si="29"/>
        <v>3.1428571428571428</v>
      </c>
      <c r="K75" s="28">
        <f t="shared" si="30"/>
        <v>0.7857142857142857</v>
      </c>
      <c r="L75" s="29">
        <f t="shared" si="31"/>
        <v>1</v>
      </c>
      <c r="M75" s="30">
        <f t="shared" si="32"/>
        <v>0</v>
      </c>
      <c r="N75" s="31">
        <f t="shared" si="33"/>
        <v>0</v>
      </c>
      <c r="O75" s="2"/>
    </row>
    <row r="76" spans="1:25" s="8" customFormat="1" ht="18.75" x14ac:dyDescent="0.3">
      <c r="A76" s="32" t="s">
        <v>111</v>
      </c>
      <c r="B76" s="21">
        <v>35</v>
      </c>
      <c r="C76" s="23">
        <f t="shared" si="26"/>
        <v>1.23445</v>
      </c>
      <c r="D76" s="23">
        <f t="shared" si="27"/>
        <v>7.716049382716049E-2</v>
      </c>
      <c r="E76" s="6">
        <f t="shared" si="28"/>
        <v>109.3</v>
      </c>
      <c r="F76" s="24">
        <v>0</v>
      </c>
      <c r="G76" s="25">
        <v>0</v>
      </c>
      <c r="H76" s="25">
        <v>2.5</v>
      </c>
      <c r="I76" s="26">
        <v>21.7</v>
      </c>
      <c r="J76" s="79">
        <f t="shared" si="29"/>
        <v>3.1228571428571428</v>
      </c>
      <c r="K76" s="28">
        <f t="shared" si="30"/>
        <v>0.69142857142857139</v>
      </c>
      <c r="L76" s="29">
        <f t="shared" si="31"/>
        <v>0</v>
      </c>
      <c r="M76" s="30">
        <f t="shared" si="32"/>
        <v>0.10330578512396695</v>
      </c>
      <c r="N76" s="31">
        <f t="shared" si="33"/>
        <v>0.89669421487603307</v>
      </c>
      <c r="O76" s="2"/>
    </row>
    <row r="77" spans="1:25" s="8" customFormat="1" ht="18" customHeight="1" x14ac:dyDescent="0.3">
      <c r="A77" s="32" t="s">
        <v>196</v>
      </c>
      <c r="B77" s="21">
        <v>47</v>
      </c>
      <c r="C77" s="92">
        <f t="shared" si="26"/>
        <v>1.6576900000000001</v>
      </c>
      <c r="D77" s="23">
        <f t="shared" si="27"/>
        <v>0.10361552028218694</v>
      </c>
      <c r="E77" s="6">
        <f t="shared" si="28"/>
        <v>143.19999999999999</v>
      </c>
      <c r="F77" s="24">
        <v>28</v>
      </c>
      <c r="G77" s="25">
        <v>7</v>
      </c>
      <c r="H77" s="25">
        <v>0.8</v>
      </c>
      <c r="I77" s="26">
        <v>13</v>
      </c>
      <c r="J77" s="79">
        <f t="shared" si="29"/>
        <v>3.0468085106382978</v>
      </c>
      <c r="K77" s="28">
        <f t="shared" si="30"/>
        <v>0.74042553191489358</v>
      </c>
      <c r="L77" s="29">
        <f t="shared" si="31"/>
        <v>0.60344827586206906</v>
      </c>
      <c r="M77" s="30">
        <f t="shared" si="32"/>
        <v>2.298850574712644E-2</v>
      </c>
      <c r="N77" s="31">
        <f t="shared" si="33"/>
        <v>0.37356321839080464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8" customFormat="1" ht="18.75" x14ac:dyDescent="0.3">
      <c r="A78" s="32" t="s">
        <v>43</v>
      </c>
      <c r="B78" s="21">
        <v>40</v>
      </c>
      <c r="C78" s="92">
        <f t="shared" si="26"/>
        <v>1.4108000000000001</v>
      </c>
      <c r="D78" s="23">
        <f t="shared" si="27"/>
        <v>8.8183421516754845E-2</v>
      </c>
      <c r="E78" s="6">
        <f t="shared" si="28"/>
        <v>117</v>
      </c>
      <c r="F78" s="24">
        <v>32</v>
      </c>
      <c r="G78" s="24">
        <v>6</v>
      </c>
      <c r="H78" s="24">
        <v>1</v>
      </c>
      <c r="I78" s="24">
        <v>1</v>
      </c>
      <c r="J78" s="79">
        <f t="shared" si="29"/>
        <v>2.9249999999999998</v>
      </c>
      <c r="K78" s="28">
        <f t="shared" si="30"/>
        <v>0.7</v>
      </c>
      <c r="L78" s="29">
        <f t="shared" si="31"/>
        <v>0.9285714285714286</v>
      </c>
      <c r="M78" s="30">
        <f t="shared" si="32"/>
        <v>3.5714285714285712E-2</v>
      </c>
      <c r="N78" s="31">
        <f t="shared" si="33"/>
        <v>3.5714285714285712E-2</v>
      </c>
    </row>
    <row r="79" spans="1:25" s="8" customFormat="1" ht="18.75" x14ac:dyDescent="0.3">
      <c r="A79" s="20" t="s">
        <v>73</v>
      </c>
      <c r="B79" s="21">
        <v>28</v>
      </c>
      <c r="C79" s="92">
        <f t="shared" si="26"/>
        <v>0.9875600000000001</v>
      </c>
      <c r="D79" s="23">
        <f t="shared" si="27"/>
        <v>6.1728395061728392E-2</v>
      </c>
      <c r="E79" s="6">
        <f t="shared" si="28"/>
        <v>81</v>
      </c>
      <c r="F79" s="83">
        <v>7</v>
      </c>
      <c r="G79" s="84">
        <v>0</v>
      </c>
      <c r="H79" s="84">
        <v>1</v>
      </c>
      <c r="I79" s="85">
        <v>11</v>
      </c>
      <c r="J79" s="86">
        <f t="shared" si="29"/>
        <v>2.8928571428571428</v>
      </c>
      <c r="K79" s="71">
        <f t="shared" si="30"/>
        <v>0.6785714285714286</v>
      </c>
      <c r="L79" s="99">
        <f t="shared" si="31"/>
        <v>0.36842105263157893</v>
      </c>
      <c r="M79" s="87">
        <f t="shared" si="32"/>
        <v>5.2631578947368418E-2</v>
      </c>
      <c r="N79" s="88">
        <f t="shared" si="33"/>
        <v>0.57894736842105265</v>
      </c>
    </row>
    <row r="80" spans="1:25" s="8" customFormat="1" ht="18" customHeight="1" x14ac:dyDescent="0.3">
      <c r="A80" s="32" t="s">
        <v>90</v>
      </c>
      <c r="B80" s="21">
        <v>126</v>
      </c>
      <c r="C80" s="23">
        <f t="shared" si="26"/>
        <v>4.4440200000000001</v>
      </c>
      <c r="D80" s="23">
        <f t="shared" si="27"/>
        <v>0.27777777777777779</v>
      </c>
      <c r="E80" s="6">
        <f t="shared" si="28"/>
        <v>362</v>
      </c>
      <c r="F80" s="24">
        <v>58</v>
      </c>
      <c r="G80" s="25">
        <v>2</v>
      </c>
      <c r="H80" s="25">
        <v>10</v>
      </c>
      <c r="I80" s="26">
        <v>12</v>
      </c>
      <c r="J80" s="79">
        <f t="shared" si="29"/>
        <v>2.873015873015873</v>
      </c>
      <c r="K80" s="28">
        <f t="shared" si="30"/>
        <v>0.61904761904761907</v>
      </c>
      <c r="L80" s="29">
        <f t="shared" si="31"/>
        <v>0.71794871794871795</v>
      </c>
      <c r="M80" s="30">
        <f t="shared" si="32"/>
        <v>0.12820512820512819</v>
      </c>
      <c r="N80" s="31">
        <f t="shared" si="33"/>
        <v>0.15384615384615385</v>
      </c>
      <c r="O80" s="2"/>
    </row>
    <row r="81" spans="1:25" s="8" customFormat="1" ht="18" customHeight="1" x14ac:dyDescent="0.3">
      <c r="A81" s="32" t="s">
        <v>44</v>
      </c>
      <c r="B81" s="21">
        <v>37.799999999999997</v>
      </c>
      <c r="C81" s="92">
        <f t="shared" si="26"/>
        <v>1.3332060000000001</v>
      </c>
      <c r="D81" s="23">
        <f t="shared" si="27"/>
        <v>8.3333333333333329E-2</v>
      </c>
      <c r="E81" s="6">
        <f t="shared" si="28"/>
        <v>108</v>
      </c>
      <c r="F81" s="24">
        <v>30</v>
      </c>
      <c r="G81" s="25">
        <v>4</v>
      </c>
      <c r="H81" s="25">
        <v>0</v>
      </c>
      <c r="I81" s="26">
        <v>1</v>
      </c>
      <c r="J81" s="79">
        <f t="shared" si="29"/>
        <v>2.8571428571428572</v>
      </c>
      <c r="K81" s="28">
        <f t="shared" si="30"/>
        <v>0.7142857142857143</v>
      </c>
      <c r="L81" s="29">
        <f t="shared" si="31"/>
        <v>0.96296296296296291</v>
      </c>
      <c r="M81" s="30">
        <f t="shared" si="32"/>
        <v>0</v>
      </c>
      <c r="N81" s="31">
        <f t="shared" si="33"/>
        <v>3.7037037037037035E-2</v>
      </c>
      <c r="O81" s="2"/>
    </row>
    <row r="82" spans="1:25" s="8" customFormat="1" ht="18.75" x14ac:dyDescent="0.3">
      <c r="A82" s="32" t="s">
        <v>142</v>
      </c>
      <c r="B82" s="21">
        <v>58</v>
      </c>
      <c r="C82" s="23">
        <f t="shared" si="26"/>
        <v>2.0456600000000003</v>
      </c>
      <c r="D82" s="23">
        <f t="shared" si="27"/>
        <v>0.12786596119929453</v>
      </c>
      <c r="E82" s="6">
        <f t="shared" si="28"/>
        <v>165</v>
      </c>
      <c r="F82" s="24">
        <v>27</v>
      </c>
      <c r="G82" s="25">
        <v>1</v>
      </c>
      <c r="H82" s="25">
        <v>5</v>
      </c>
      <c r="I82" s="26">
        <v>4</v>
      </c>
      <c r="J82" s="27">
        <f t="shared" si="29"/>
        <v>2.8448275862068964</v>
      </c>
      <c r="K82" s="28">
        <f t="shared" si="30"/>
        <v>0.60344827586206895</v>
      </c>
      <c r="L82" s="29">
        <f t="shared" si="31"/>
        <v>0.74285714285714288</v>
      </c>
      <c r="M82" s="30">
        <f t="shared" si="32"/>
        <v>0.14285714285714285</v>
      </c>
      <c r="N82" s="31">
        <f t="shared" si="33"/>
        <v>0.11428571428571428</v>
      </c>
      <c r="O82" s="2"/>
    </row>
    <row r="83" spans="1:25" s="8" customFormat="1" ht="18.75" x14ac:dyDescent="0.3">
      <c r="A83" s="20" t="s">
        <v>141</v>
      </c>
      <c r="B83" s="21">
        <v>57</v>
      </c>
      <c r="C83" s="23">
        <f t="shared" si="26"/>
        <v>2.0103900000000001</v>
      </c>
      <c r="D83" s="23">
        <f t="shared" si="27"/>
        <v>0.12566137566137567</v>
      </c>
      <c r="E83" s="6">
        <f t="shared" si="28"/>
        <v>150</v>
      </c>
      <c r="F83" s="24">
        <v>0</v>
      </c>
      <c r="G83" s="25">
        <v>0</v>
      </c>
      <c r="H83" s="25">
        <v>10</v>
      </c>
      <c r="I83" s="26">
        <v>15</v>
      </c>
      <c r="J83" s="27">
        <f t="shared" si="29"/>
        <v>2.6315789473684212</v>
      </c>
      <c r="K83" s="71">
        <f t="shared" si="30"/>
        <v>0.43859649122807015</v>
      </c>
      <c r="L83" s="103">
        <f t="shared" si="31"/>
        <v>0</v>
      </c>
      <c r="M83" s="30">
        <f t="shared" si="32"/>
        <v>0.4</v>
      </c>
      <c r="N83" s="31">
        <f t="shared" si="33"/>
        <v>0.6</v>
      </c>
      <c r="O83" s="2"/>
    </row>
    <row r="84" spans="1:25" s="8" customFormat="1" ht="18" customHeight="1" x14ac:dyDescent="0.3">
      <c r="A84" s="32" t="s">
        <v>91</v>
      </c>
      <c r="B84" s="21">
        <v>63</v>
      </c>
      <c r="C84" s="92">
        <f t="shared" si="26"/>
        <v>2.22201</v>
      </c>
      <c r="D84" s="23">
        <f t="shared" si="27"/>
        <v>0.1388888888888889</v>
      </c>
      <c r="E84" s="6">
        <f t="shared" si="28"/>
        <v>149.5</v>
      </c>
      <c r="F84" s="24">
        <v>41</v>
      </c>
      <c r="G84" s="25">
        <v>20</v>
      </c>
      <c r="H84" s="25">
        <v>1.5</v>
      </c>
      <c r="I84" s="26">
        <v>13</v>
      </c>
      <c r="J84" s="79">
        <f t="shared" si="29"/>
        <v>2.373015873015873</v>
      </c>
      <c r="K84" s="28">
        <f t="shared" si="30"/>
        <v>0.56349206349206349</v>
      </c>
      <c r="L84" s="29">
        <f t="shared" si="31"/>
        <v>0.59154929577464788</v>
      </c>
      <c r="M84" s="30">
        <f t="shared" si="32"/>
        <v>4.2253521126760563E-2</v>
      </c>
      <c r="N84" s="31">
        <f t="shared" si="33"/>
        <v>0.36619718309859156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8" customFormat="1" ht="18" customHeight="1" x14ac:dyDescent="0.3">
      <c r="A85" s="32" t="s">
        <v>136</v>
      </c>
      <c r="B85" s="21">
        <v>46.1</v>
      </c>
      <c r="C85" s="92">
        <f t="shared" si="26"/>
        <v>1.6259470000000003</v>
      </c>
      <c r="D85" s="23">
        <f t="shared" si="27"/>
        <v>0.10163139329805997</v>
      </c>
      <c r="E85" s="6">
        <f t="shared" si="28"/>
        <v>105</v>
      </c>
      <c r="F85" s="24">
        <v>24</v>
      </c>
      <c r="G85" s="25">
        <v>5</v>
      </c>
      <c r="H85" s="25">
        <v>1</v>
      </c>
      <c r="I85" s="26">
        <v>5</v>
      </c>
      <c r="J85" s="79">
        <f t="shared" si="29"/>
        <v>2.2776572668112798</v>
      </c>
      <c r="K85" s="28">
        <f t="shared" si="30"/>
        <v>0.54229934924078094</v>
      </c>
      <c r="L85" s="29">
        <f t="shared" si="31"/>
        <v>0.76</v>
      </c>
      <c r="M85" s="30">
        <f t="shared" si="32"/>
        <v>0.04</v>
      </c>
      <c r="N85" s="31">
        <f t="shared" si="33"/>
        <v>0.2</v>
      </c>
      <c r="O85" s="2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8" customFormat="1" ht="18.75" x14ac:dyDescent="0.3">
      <c r="A86" s="32" t="s">
        <v>115</v>
      </c>
      <c r="B86" s="21">
        <v>59</v>
      </c>
      <c r="C86" s="92">
        <f t="shared" si="26"/>
        <v>2.0809299999999999</v>
      </c>
      <c r="D86" s="23">
        <f t="shared" si="27"/>
        <v>0.13007054673721341</v>
      </c>
      <c r="E86" s="6">
        <f t="shared" si="28"/>
        <v>134</v>
      </c>
      <c r="F86" s="24">
        <v>27</v>
      </c>
      <c r="G86" s="25">
        <v>4</v>
      </c>
      <c r="H86" s="25">
        <v>2</v>
      </c>
      <c r="I86" s="26">
        <v>6</v>
      </c>
      <c r="J86" s="79">
        <f t="shared" si="29"/>
        <v>2.2711864406779663</v>
      </c>
      <c r="K86" s="28">
        <f t="shared" si="30"/>
        <v>0.52542372881355937</v>
      </c>
      <c r="L86" s="29">
        <f t="shared" si="31"/>
        <v>0.74193548387096775</v>
      </c>
      <c r="M86" s="30">
        <f t="shared" si="32"/>
        <v>6.4516129032258063E-2</v>
      </c>
      <c r="N86" s="31">
        <f t="shared" si="33"/>
        <v>0.19354838709677419</v>
      </c>
    </row>
    <row r="87" spans="1:25" s="8" customFormat="1" ht="18.75" x14ac:dyDescent="0.3">
      <c r="A87" s="32" t="s">
        <v>203</v>
      </c>
      <c r="B87" s="21">
        <v>36</v>
      </c>
      <c r="C87" s="92">
        <f t="shared" si="26"/>
        <v>1.2697200000000002</v>
      </c>
      <c r="D87" s="23">
        <f t="shared" si="27"/>
        <v>7.9365079365079361E-2</v>
      </c>
      <c r="E87" s="6">
        <f t="shared" si="28"/>
        <v>60</v>
      </c>
      <c r="F87" s="24">
        <v>22</v>
      </c>
      <c r="G87" s="25">
        <v>14</v>
      </c>
      <c r="H87" s="25">
        <v>0</v>
      </c>
      <c r="I87" s="26">
        <v>7</v>
      </c>
      <c r="J87" s="27">
        <f t="shared" si="29"/>
        <v>1.6666666666666667</v>
      </c>
      <c r="K87" s="71">
        <f t="shared" si="30"/>
        <v>0.41666666666666669</v>
      </c>
      <c r="L87" s="29">
        <f t="shared" si="31"/>
        <v>0.53333333333333333</v>
      </c>
      <c r="M87" s="30">
        <f t="shared" si="32"/>
        <v>0</v>
      </c>
      <c r="N87" s="31">
        <f t="shared" si="33"/>
        <v>0.46666666666666667</v>
      </c>
    </row>
    <row r="88" spans="1:25" s="8" customFormat="1" ht="18.75" x14ac:dyDescent="0.3">
      <c r="A88" s="32" t="s">
        <v>201</v>
      </c>
      <c r="B88" s="21">
        <v>140</v>
      </c>
      <c r="C88" s="92">
        <f t="shared" si="26"/>
        <v>4.9378000000000002</v>
      </c>
      <c r="D88" s="23">
        <f t="shared" si="27"/>
        <v>0.30864197530864196</v>
      </c>
      <c r="E88" s="6">
        <f t="shared" si="28"/>
        <v>217</v>
      </c>
      <c r="F88" s="24">
        <v>0</v>
      </c>
      <c r="G88" s="25">
        <v>0</v>
      </c>
      <c r="H88" s="25">
        <v>5</v>
      </c>
      <c r="I88" s="26">
        <v>43</v>
      </c>
      <c r="J88" s="79">
        <f t="shared" si="29"/>
        <v>1.55</v>
      </c>
      <c r="K88" s="28">
        <f t="shared" si="30"/>
        <v>0.34285714285714286</v>
      </c>
      <c r="L88" s="29">
        <f t="shared" si="31"/>
        <v>0</v>
      </c>
      <c r="M88" s="30">
        <f t="shared" si="32"/>
        <v>0.10416666666666667</v>
      </c>
      <c r="N88" s="31">
        <f t="shared" si="33"/>
        <v>0.89583333333333337</v>
      </c>
      <c r="O88" s="10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4" customFormat="1" ht="18.75" x14ac:dyDescent="0.3">
      <c r="A89" s="32" t="s">
        <v>94</v>
      </c>
      <c r="B89" s="21">
        <v>42.5</v>
      </c>
      <c r="C89" s="92">
        <f t="shared" si="26"/>
        <v>1.4989750000000002</v>
      </c>
      <c r="D89" s="23">
        <f t="shared" si="27"/>
        <v>9.369488536155203E-2</v>
      </c>
      <c r="E89" s="6">
        <f t="shared" si="28"/>
        <v>65</v>
      </c>
      <c r="F89" s="24">
        <v>15</v>
      </c>
      <c r="G89" s="25">
        <v>6</v>
      </c>
      <c r="H89" s="25">
        <v>1</v>
      </c>
      <c r="I89" s="26">
        <v>5</v>
      </c>
      <c r="J89" s="79">
        <f t="shared" si="29"/>
        <v>1.5294117647058822</v>
      </c>
      <c r="K89" s="28">
        <f t="shared" si="30"/>
        <v>0.35294117647058826</v>
      </c>
      <c r="L89" s="29">
        <f t="shared" si="31"/>
        <v>0.6</v>
      </c>
      <c r="M89" s="30">
        <f t="shared" si="32"/>
        <v>6.6666666666666666E-2</v>
      </c>
      <c r="N89" s="31">
        <f t="shared" si="33"/>
        <v>0.33333333333333331</v>
      </c>
      <c r="O89" s="2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s="8" customFormat="1" ht="18.75" x14ac:dyDescent="0.3">
      <c r="A90" s="32" t="s">
        <v>93</v>
      </c>
      <c r="B90" s="21">
        <v>30.2</v>
      </c>
      <c r="C90" s="92">
        <f t="shared" si="26"/>
        <v>1.0651540000000002</v>
      </c>
      <c r="D90" s="23">
        <f t="shared" si="27"/>
        <v>6.6578483245149908E-2</v>
      </c>
      <c r="E90" s="6">
        <f t="shared" si="28"/>
        <v>44</v>
      </c>
      <c r="F90" s="24">
        <v>11</v>
      </c>
      <c r="G90" s="25">
        <v>2</v>
      </c>
      <c r="H90" s="25">
        <v>0</v>
      </c>
      <c r="I90" s="26">
        <v>2</v>
      </c>
      <c r="J90" s="79">
        <f t="shared" si="29"/>
        <v>1.4569536423841061</v>
      </c>
      <c r="K90" s="28">
        <f t="shared" si="30"/>
        <v>0.36423841059602652</v>
      </c>
      <c r="L90" s="29">
        <f t="shared" si="31"/>
        <v>0.81818181818181823</v>
      </c>
      <c r="M90" s="30">
        <f t="shared" si="32"/>
        <v>0</v>
      </c>
      <c r="N90" s="31">
        <f t="shared" si="33"/>
        <v>0.18181818181818182</v>
      </c>
    </row>
    <row r="91" spans="1:25" s="8" customFormat="1" ht="19.5" thickBot="1" x14ac:dyDescent="0.35">
      <c r="A91" s="37" t="s">
        <v>154</v>
      </c>
      <c r="B91" s="38">
        <v>57</v>
      </c>
      <c r="C91" s="39">
        <f t="shared" si="26"/>
        <v>2.0103900000000001</v>
      </c>
      <c r="D91" s="40">
        <f t="shared" si="27"/>
        <v>0.12566137566137567</v>
      </c>
      <c r="E91" s="7">
        <f t="shared" si="28"/>
        <v>66</v>
      </c>
      <c r="F91" s="41">
        <v>0</v>
      </c>
      <c r="G91" s="42">
        <v>0</v>
      </c>
      <c r="H91" s="42">
        <v>2</v>
      </c>
      <c r="I91" s="43">
        <v>12</v>
      </c>
      <c r="J91" s="44">
        <f t="shared" si="29"/>
        <v>1.1578947368421053</v>
      </c>
      <c r="K91" s="45">
        <f t="shared" si="30"/>
        <v>0.24561403508771928</v>
      </c>
      <c r="L91" s="46">
        <f t="shared" si="31"/>
        <v>0</v>
      </c>
      <c r="M91" s="47">
        <f t="shared" si="32"/>
        <v>0.14285714285714285</v>
      </c>
      <c r="N91" s="48">
        <f t="shared" si="33"/>
        <v>0.8571428571428571</v>
      </c>
    </row>
    <row r="92" spans="1:25" ht="18.75" x14ac:dyDescent="0.3">
      <c r="A92" s="3" t="s">
        <v>75</v>
      </c>
    </row>
    <row r="93" spans="1:25" ht="18.75" x14ac:dyDescent="0.3">
      <c r="A93" s="2"/>
    </row>
    <row r="94" spans="1:25" ht="18.75" x14ac:dyDescent="0.3">
      <c r="A94" s="2" t="s">
        <v>117</v>
      </c>
    </row>
    <row r="95" spans="1:25" ht="18.75" x14ac:dyDescent="0.3">
      <c r="A95" s="2" t="s">
        <v>118</v>
      </c>
    </row>
    <row r="96" spans="1:25" ht="18.75" x14ac:dyDescent="0.3">
      <c r="A96" s="2" t="s">
        <v>119</v>
      </c>
    </row>
    <row r="97" spans="1:1" ht="18.75" x14ac:dyDescent="0.3">
      <c r="A97" s="2" t="s">
        <v>120</v>
      </c>
    </row>
    <row r="98" spans="1:1" ht="18.75" x14ac:dyDescent="0.3">
      <c r="A98" s="2" t="s">
        <v>121</v>
      </c>
    </row>
  </sheetData>
  <sortState xmlns:xlrd2="http://schemas.microsoft.com/office/spreadsheetml/2017/richdata2" ref="A4:Y93">
    <sortCondition descending="1" ref="J4:J93"/>
  </sortState>
  <mergeCells count="12">
    <mergeCell ref="A1:A2"/>
    <mergeCell ref="A3:N3"/>
    <mergeCell ref="A55:N55"/>
    <mergeCell ref="L1:N1"/>
    <mergeCell ref="K1:K2"/>
    <mergeCell ref="J1:J2"/>
    <mergeCell ref="E1:E2"/>
    <mergeCell ref="F1:F2"/>
    <mergeCell ref="G1:G2"/>
    <mergeCell ref="H1:H2"/>
    <mergeCell ref="I1:I2"/>
    <mergeCell ref="B1:D1"/>
  </mergeCells>
  <phoneticPr fontId="4" type="noConversion"/>
  <pageMargins left="0.7" right="0.7" top="0.5" bottom="0.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workbookViewId="0">
      <selection activeCell="A5" sqref="A4:XFD5"/>
    </sheetView>
  </sheetViews>
  <sheetFormatPr defaultRowHeight="15" x14ac:dyDescent="0.25"/>
  <cols>
    <col min="1" max="1" width="24.28515625" style="4" customWidth="1"/>
    <col min="2" max="2" width="60.42578125" style="4" customWidth="1"/>
    <col min="3" max="3" width="16.5703125" style="4" bestFit="1" customWidth="1"/>
    <col min="4" max="4" width="14.5703125" style="4" customWidth="1"/>
    <col min="5" max="5" width="15.28515625" style="4" customWidth="1"/>
    <col min="6" max="6" width="10.42578125" style="4" bestFit="1" customWidth="1"/>
    <col min="7" max="9" width="9.140625" style="4" customWidth="1"/>
    <col min="10" max="10" width="11" style="4" customWidth="1"/>
    <col min="11" max="11" width="10.85546875" style="4" customWidth="1"/>
    <col min="12" max="12" width="13.85546875" style="4" customWidth="1"/>
    <col min="13" max="14" width="9.140625" style="4"/>
    <col min="15" max="15" width="10.5703125" style="4" customWidth="1"/>
    <col min="16" max="16384" width="9.140625" style="4"/>
  </cols>
  <sheetData>
    <row r="1" spans="1:15" ht="29.25" thickBot="1" x14ac:dyDescent="0.5">
      <c r="A1" s="123" t="s">
        <v>164</v>
      </c>
    </row>
    <row r="2" spans="1:15" ht="18.75" customHeight="1" x14ac:dyDescent="0.3">
      <c r="A2" s="178" t="s">
        <v>13</v>
      </c>
      <c r="B2" s="188" t="s">
        <v>14</v>
      </c>
      <c r="C2" s="178" t="s">
        <v>15</v>
      </c>
      <c r="D2" s="124"/>
      <c r="E2" s="115"/>
      <c r="F2" s="180" t="s">
        <v>0</v>
      </c>
      <c r="G2" s="190" t="s">
        <v>1</v>
      </c>
      <c r="H2" s="184" t="s">
        <v>2</v>
      </c>
      <c r="I2" s="184" t="s">
        <v>3</v>
      </c>
      <c r="J2" s="192" t="s">
        <v>4</v>
      </c>
      <c r="K2" s="180" t="s">
        <v>5</v>
      </c>
      <c r="L2" s="178" t="s">
        <v>74</v>
      </c>
      <c r="M2" s="175" t="s">
        <v>78</v>
      </c>
      <c r="N2" s="176"/>
      <c r="O2" s="177"/>
    </row>
    <row r="3" spans="1:15" ht="36" customHeight="1" thickBot="1" x14ac:dyDescent="0.35">
      <c r="A3" s="179"/>
      <c r="B3" s="189"/>
      <c r="C3" s="179"/>
      <c r="D3" s="125" t="s">
        <v>16</v>
      </c>
      <c r="E3" s="117" t="s">
        <v>17</v>
      </c>
      <c r="F3" s="181"/>
      <c r="G3" s="191"/>
      <c r="H3" s="185"/>
      <c r="I3" s="185"/>
      <c r="J3" s="193"/>
      <c r="K3" s="181"/>
      <c r="L3" s="179"/>
      <c r="M3" s="118" t="s">
        <v>79</v>
      </c>
      <c r="N3" s="119" t="s">
        <v>80</v>
      </c>
      <c r="O3" s="120" t="s">
        <v>81</v>
      </c>
    </row>
    <row r="4" spans="1:15" ht="18.600000000000001" customHeight="1" x14ac:dyDescent="0.3">
      <c r="A4" s="49" t="s">
        <v>214</v>
      </c>
      <c r="B4" s="89" t="s">
        <v>215</v>
      </c>
      <c r="C4" s="91">
        <v>94</v>
      </c>
      <c r="D4" s="22">
        <f t="shared" ref="D4:D34" si="0">C4*0.035274</f>
        <v>3.3157559999999999</v>
      </c>
      <c r="E4" s="51">
        <f t="shared" ref="E4:E34" si="1">C4/453.6</f>
        <v>0.20723104056437389</v>
      </c>
      <c r="F4" s="5">
        <v>620</v>
      </c>
      <c r="G4" s="57">
        <v>2</v>
      </c>
      <c r="H4" s="58">
        <v>1</v>
      </c>
      <c r="I4" s="58">
        <v>23</v>
      </c>
      <c r="J4" s="59">
        <v>20</v>
      </c>
      <c r="K4" s="107">
        <f t="shared" ref="K4:K34" si="2">F4/C4</f>
        <v>6.5957446808510642</v>
      </c>
      <c r="L4" s="16">
        <f t="shared" ref="L4:L34" si="3">SUM(G4-H4,I4,J4)/C4</f>
        <v>0.46808510638297873</v>
      </c>
      <c r="M4" s="17">
        <f t="shared" ref="M4:M34" si="4">(G4-H4)/SUM(G4-H4,I4:J4)</f>
        <v>2.2727272727272728E-2</v>
      </c>
      <c r="N4" s="18">
        <f t="shared" ref="N4:N34" si="5">I4/SUM(G4,-H4,I4:J4)</f>
        <v>0.52272727272727271</v>
      </c>
      <c r="O4" s="19">
        <f t="shared" ref="O4:O34" si="6">J4/SUM(G4-H4,,I4:J4)</f>
        <v>0.45454545454545453</v>
      </c>
    </row>
    <row r="5" spans="1:15" ht="18.75" x14ac:dyDescent="0.3">
      <c r="A5" s="20" t="s">
        <v>211</v>
      </c>
      <c r="B5" s="32" t="s">
        <v>212</v>
      </c>
      <c r="C5" s="33">
        <v>152</v>
      </c>
      <c r="D5" s="22">
        <f t="shared" si="0"/>
        <v>5.3616479999999997</v>
      </c>
      <c r="E5" s="23">
        <f t="shared" si="1"/>
        <v>0.33509700176366841</v>
      </c>
      <c r="F5" s="6">
        <v>850</v>
      </c>
      <c r="G5" s="24">
        <v>65</v>
      </c>
      <c r="H5" s="25">
        <v>6</v>
      </c>
      <c r="I5" s="25">
        <v>44</v>
      </c>
      <c r="J5" s="26">
        <v>44</v>
      </c>
      <c r="K5" s="79">
        <f t="shared" si="2"/>
        <v>5.5921052631578947</v>
      </c>
      <c r="L5" s="53">
        <f t="shared" si="3"/>
        <v>0.96710526315789469</v>
      </c>
      <c r="M5" s="29">
        <f t="shared" si="4"/>
        <v>0.40136054421768708</v>
      </c>
      <c r="N5" s="30">
        <f t="shared" si="5"/>
        <v>0.29931972789115646</v>
      </c>
      <c r="O5" s="31">
        <f t="shared" si="6"/>
        <v>0.29931972789115646</v>
      </c>
    </row>
    <row r="6" spans="1:15" ht="18.75" x14ac:dyDescent="0.3">
      <c r="A6" s="20" t="s">
        <v>190</v>
      </c>
      <c r="B6" s="32" t="s">
        <v>193</v>
      </c>
      <c r="C6" s="33">
        <v>86</v>
      </c>
      <c r="D6" s="22">
        <f t="shared" si="0"/>
        <v>3.0335640000000001</v>
      </c>
      <c r="E6" s="23">
        <f t="shared" si="1"/>
        <v>0.18959435626102292</v>
      </c>
      <c r="F6" s="6">
        <f>(4*SUM(G6-H6,J6))+(9*I6)</f>
        <v>464</v>
      </c>
      <c r="G6" s="24">
        <v>10</v>
      </c>
      <c r="H6" s="25">
        <v>2</v>
      </c>
      <c r="I6" s="25">
        <v>32</v>
      </c>
      <c r="J6" s="26">
        <v>36</v>
      </c>
      <c r="K6" s="79">
        <f t="shared" si="2"/>
        <v>5.3953488372093021</v>
      </c>
      <c r="L6" s="53">
        <f t="shared" si="3"/>
        <v>0.88372093023255816</v>
      </c>
      <c r="M6" s="29">
        <f t="shared" si="4"/>
        <v>0.10526315789473684</v>
      </c>
      <c r="N6" s="30">
        <f t="shared" si="5"/>
        <v>0.42105263157894735</v>
      </c>
      <c r="O6" s="31">
        <f t="shared" si="6"/>
        <v>0.47368421052631576</v>
      </c>
    </row>
    <row r="7" spans="1:15" ht="18.75" x14ac:dyDescent="0.3">
      <c r="A7" s="20" t="s">
        <v>211</v>
      </c>
      <c r="B7" s="32" t="s">
        <v>213</v>
      </c>
      <c r="C7" s="33">
        <v>166</v>
      </c>
      <c r="D7" s="22">
        <f t="shared" si="0"/>
        <v>5.8554839999999997</v>
      </c>
      <c r="E7" s="23">
        <f t="shared" si="1"/>
        <v>0.36596119929453264</v>
      </c>
      <c r="F7" s="6">
        <v>870</v>
      </c>
      <c r="G7" s="24">
        <v>105</v>
      </c>
      <c r="H7" s="25">
        <v>12</v>
      </c>
      <c r="I7" s="25">
        <v>43</v>
      </c>
      <c r="J7" s="26">
        <v>23</v>
      </c>
      <c r="K7" s="79">
        <f t="shared" si="2"/>
        <v>5.2409638554216871</v>
      </c>
      <c r="L7" s="53">
        <f t="shared" si="3"/>
        <v>0.95783132530120485</v>
      </c>
      <c r="M7" s="29">
        <f t="shared" si="4"/>
        <v>0.58490566037735847</v>
      </c>
      <c r="N7" s="30">
        <f t="shared" si="5"/>
        <v>0.27044025157232704</v>
      </c>
      <c r="O7" s="31">
        <f t="shared" si="6"/>
        <v>0.14465408805031446</v>
      </c>
    </row>
    <row r="8" spans="1:15" ht="18.75" x14ac:dyDescent="0.3">
      <c r="A8" s="20" t="s">
        <v>46</v>
      </c>
      <c r="B8" s="32" t="s">
        <v>60</v>
      </c>
      <c r="C8" s="33">
        <v>72.015877516302808</v>
      </c>
      <c r="D8" s="22">
        <f t="shared" si="0"/>
        <v>2.5402880635100651</v>
      </c>
      <c r="E8" s="23">
        <f t="shared" si="1"/>
        <v>0.15876516207297797</v>
      </c>
      <c r="F8" s="6">
        <f>(4*SUM(G8-H8,J8))+(9*I8)</f>
        <v>372</v>
      </c>
      <c r="G8" s="24">
        <v>16</v>
      </c>
      <c r="H8" s="25">
        <v>0</v>
      </c>
      <c r="I8" s="25">
        <v>20</v>
      </c>
      <c r="J8" s="26">
        <v>32</v>
      </c>
      <c r="K8" s="79">
        <f t="shared" si="2"/>
        <v>5.1655275590551177</v>
      </c>
      <c r="L8" s="53">
        <f t="shared" si="3"/>
        <v>0.94423622047244093</v>
      </c>
      <c r="M8" s="29">
        <f t="shared" si="4"/>
        <v>0.23529411764705882</v>
      </c>
      <c r="N8" s="30">
        <f t="shared" si="5"/>
        <v>0.29411764705882354</v>
      </c>
      <c r="O8" s="31">
        <f t="shared" si="6"/>
        <v>0.47058823529411764</v>
      </c>
    </row>
    <row r="9" spans="1:15" ht="18.75" x14ac:dyDescent="0.3">
      <c r="A9" s="20" t="s">
        <v>190</v>
      </c>
      <c r="B9" s="32" t="s">
        <v>194</v>
      </c>
      <c r="C9" s="33">
        <v>82</v>
      </c>
      <c r="D9" s="22">
        <f t="shared" si="0"/>
        <v>2.892468</v>
      </c>
      <c r="E9" s="23">
        <f t="shared" si="1"/>
        <v>0.18077601410934743</v>
      </c>
      <c r="F9" s="6">
        <f>(4*SUM(G9-H9,J9))+(9*I9)</f>
        <v>410</v>
      </c>
      <c r="G9" s="24">
        <v>10</v>
      </c>
      <c r="H9" s="25">
        <v>2</v>
      </c>
      <c r="I9" s="25">
        <v>26</v>
      </c>
      <c r="J9" s="26">
        <v>36</v>
      </c>
      <c r="K9" s="79">
        <f t="shared" si="2"/>
        <v>5</v>
      </c>
      <c r="L9" s="53">
        <f t="shared" si="3"/>
        <v>0.85365853658536583</v>
      </c>
      <c r="M9" s="29">
        <f t="shared" si="4"/>
        <v>0.11428571428571428</v>
      </c>
      <c r="N9" s="30">
        <f t="shared" si="5"/>
        <v>0.37142857142857144</v>
      </c>
      <c r="O9" s="31">
        <f t="shared" si="6"/>
        <v>0.51428571428571423</v>
      </c>
    </row>
    <row r="10" spans="1:15" ht="18.75" x14ac:dyDescent="0.3">
      <c r="A10" s="20" t="s">
        <v>46</v>
      </c>
      <c r="B10" s="32" t="s">
        <v>216</v>
      </c>
      <c r="C10" s="33">
        <v>122</v>
      </c>
      <c r="D10" s="22">
        <f t="shared" si="0"/>
        <v>4.3034280000000003</v>
      </c>
      <c r="E10" s="23">
        <f t="shared" si="1"/>
        <v>0.26895943562610231</v>
      </c>
      <c r="F10" s="6">
        <v>560</v>
      </c>
      <c r="G10" s="24">
        <v>63</v>
      </c>
      <c r="H10" s="25">
        <v>2</v>
      </c>
      <c r="I10" s="25">
        <v>23</v>
      </c>
      <c r="J10" s="26">
        <v>24</v>
      </c>
      <c r="K10" s="79">
        <f t="shared" si="2"/>
        <v>4.5901639344262293</v>
      </c>
      <c r="L10" s="53">
        <f t="shared" si="3"/>
        <v>0.88524590163934425</v>
      </c>
      <c r="M10" s="29">
        <f t="shared" si="4"/>
        <v>0.56481481481481477</v>
      </c>
      <c r="N10" s="30">
        <f t="shared" si="5"/>
        <v>0.21296296296296297</v>
      </c>
      <c r="O10" s="31">
        <f t="shared" si="6"/>
        <v>0.22222222222222221</v>
      </c>
    </row>
    <row r="11" spans="1:15" ht="18.75" x14ac:dyDescent="0.3">
      <c r="A11" s="20" t="s">
        <v>54</v>
      </c>
      <c r="B11" s="32" t="s">
        <v>59</v>
      </c>
      <c r="C11" s="33">
        <v>99.234476892543228</v>
      </c>
      <c r="D11" s="22">
        <f t="shared" si="0"/>
        <v>3.5003969379075697</v>
      </c>
      <c r="E11" s="23">
        <f t="shared" si="1"/>
        <v>0.21877089262024521</v>
      </c>
      <c r="F11" s="6">
        <f t="shared" ref="F11:F20" si="7">(4*SUM(G11-H11,J11))+(9*I11)</f>
        <v>446</v>
      </c>
      <c r="G11" s="24">
        <v>42</v>
      </c>
      <c r="H11" s="25">
        <v>4</v>
      </c>
      <c r="I11" s="25">
        <v>22</v>
      </c>
      <c r="J11" s="26">
        <v>24</v>
      </c>
      <c r="K11" s="79">
        <f t="shared" si="2"/>
        <v>4.4944057142857146</v>
      </c>
      <c r="L11" s="53">
        <f t="shared" si="3"/>
        <v>0.84648000000000012</v>
      </c>
      <c r="M11" s="29">
        <f t="shared" si="4"/>
        <v>0.45238095238095238</v>
      </c>
      <c r="N11" s="30">
        <f t="shared" si="5"/>
        <v>0.26190476190476192</v>
      </c>
      <c r="O11" s="31">
        <f t="shared" si="6"/>
        <v>0.2857142857142857</v>
      </c>
    </row>
    <row r="12" spans="1:15" ht="18.75" x14ac:dyDescent="0.3">
      <c r="A12" s="20" t="s">
        <v>46</v>
      </c>
      <c r="B12" s="32" t="s">
        <v>49</v>
      </c>
      <c r="C12" s="33">
        <v>136.09299688120214</v>
      </c>
      <c r="D12" s="22">
        <f t="shared" si="0"/>
        <v>4.8005443719875238</v>
      </c>
      <c r="E12" s="23">
        <f t="shared" si="1"/>
        <v>0.30002865273633628</v>
      </c>
      <c r="F12" s="6">
        <f t="shared" si="7"/>
        <v>580</v>
      </c>
      <c r="G12" s="24">
        <f>2.5*28</f>
        <v>70</v>
      </c>
      <c r="H12" s="25">
        <f>2.5*2</f>
        <v>5</v>
      </c>
      <c r="I12" s="25">
        <f>2.5*8</f>
        <v>20</v>
      </c>
      <c r="J12" s="26">
        <f>2.5*14</f>
        <v>35</v>
      </c>
      <c r="K12" s="79">
        <f t="shared" si="2"/>
        <v>4.2617916666666673</v>
      </c>
      <c r="L12" s="53">
        <f t="shared" si="3"/>
        <v>0.88175000000000014</v>
      </c>
      <c r="M12" s="29">
        <f t="shared" si="4"/>
        <v>0.54166666666666663</v>
      </c>
      <c r="N12" s="30">
        <f t="shared" si="5"/>
        <v>0.16666666666666666</v>
      </c>
      <c r="O12" s="31">
        <f t="shared" si="6"/>
        <v>0.29166666666666669</v>
      </c>
    </row>
    <row r="13" spans="1:15" ht="18.75" x14ac:dyDescent="0.3">
      <c r="A13" s="20" t="s">
        <v>46</v>
      </c>
      <c r="B13" s="32" t="s">
        <v>47</v>
      </c>
      <c r="C13" s="33">
        <v>136.09299688120214</v>
      </c>
      <c r="D13" s="22">
        <f t="shared" si="0"/>
        <v>4.8005443719875238</v>
      </c>
      <c r="E13" s="23">
        <f t="shared" si="1"/>
        <v>0.30002865273633628</v>
      </c>
      <c r="F13" s="6">
        <f t="shared" si="7"/>
        <v>575</v>
      </c>
      <c r="G13" s="24">
        <f>2.5*30</f>
        <v>75</v>
      </c>
      <c r="H13" s="25">
        <f>2.5*5</f>
        <v>12.5</v>
      </c>
      <c r="I13" s="25">
        <f>2.5*10</f>
        <v>25</v>
      </c>
      <c r="J13" s="26">
        <f>2.5*10</f>
        <v>25</v>
      </c>
      <c r="K13" s="79">
        <f t="shared" si="2"/>
        <v>4.2250520833333338</v>
      </c>
      <c r="L13" s="53">
        <f t="shared" si="3"/>
        <v>0.82664062500000013</v>
      </c>
      <c r="M13" s="29">
        <f t="shared" si="4"/>
        <v>0.55555555555555558</v>
      </c>
      <c r="N13" s="30">
        <f t="shared" si="5"/>
        <v>0.22222222222222221</v>
      </c>
      <c r="O13" s="31">
        <f t="shared" si="6"/>
        <v>0.22222222222222221</v>
      </c>
    </row>
    <row r="14" spans="1:15" ht="18.75" x14ac:dyDescent="0.3">
      <c r="A14" s="20" t="s">
        <v>46</v>
      </c>
      <c r="B14" s="32" t="s">
        <v>170</v>
      </c>
      <c r="C14" s="33">
        <v>127.5</v>
      </c>
      <c r="D14" s="22">
        <f t="shared" si="0"/>
        <v>4.4974350000000003</v>
      </c>
      <c r="E14" s="23">
        <f t="shared" si="1"/>
        <v>0.28108465608465605</v>
      </c>
      <c r="F14" s="6">
        <f t="shared" si="7"/>
        <v>512.5</v>
      </c>
      <c r="G14" s="24">
        <f>31*2.5</f>
        <v>77.5</v>
      </c>
      <c r="H14" s="25">
        <f>2*2.5</f>
        <v>5</v>
      </c>
      <c r="I14" s="25">
        <f>5*2.5</f>
        <v>12.5</v>
      </c>
      <c r="J14" s="26">
        <f>11*2.5</f>
        <v>27.5</v>
      </c>
      <c r="K14" s="79">
        <f t="shared" si="2"/>
        <v>4.0196078431372548</v>
      </c>
      <c r="L14" s="53">
        <f t="shared" si="3"/>
        <v>0.88235294117647056</v>
      </c>
      <c r="M14" s="29">
        <f t="shared" si="4"/>
        <v>0.64444444444444449</v>
      </c>
      <c r="N14" s="30">
        <f t="shared" si="5"/>
        <v>0.1111111111111111</v>
      </c>
      <c r="O14" s="31">
        <f t="shared" si="6"/>
        <v>0.24444444444444444</v>
      </c>
    </row>
    <row r="15" spans="1:15" ht="18.75" x14ac:dyDescent="0.3">
      <c r="A15" s="20" t="s">
        <v>190</v>
      </c>
      <c r="B15" s="32" t="s">
        <v>192</v>
      </c>
      <c r="C15" s="33">
        <v>114</v>
      </c>
      <c r="D15" s="22">
        <f t="shared" si="0"/>
        <v>4.021236</v>
      </c>
      <c r="E15" s="23">
        <f t="shared" si="1"/>
        <v>0.25132275132275134</v>
      </c>
      <c r="F15" s="6">
        <f t="shared" si="7"/>
        <v>458</v>
      </c>
      <c r="G15" s="24">
        <v>64</v>
      </c>
      <c r="H15" s="25">
        <v>8</v>
      </c>
      <c r="I15" s="25">
        <v>18</v>
      </c>
      <c r="J15" s="26">
        <v>18</v>
      </c>
      <c r="K15" s="79">
        <f t="shared" si="2"/>
        <v>4.0175438596491224</v>
      </c>
      <c r="L15" s="53">
        <f t="shared" si="3"/>
        <v>0.80701754385964908</v>
      </c>
      <c r="M15" s="29">
        <f t="shared" si="4"/>
        <v>0.60869565217391308</v>
      </c>
      <c r="N15" s="30">
        <f t="shared" si="5"/>
        <v>0.19565217391304349</v>
      </c>
      <c r="O15" s="31">
        <f t="shared" si="6"/>
        <v>0.19565217391304349</v>
      </c>
    </row>
    <row r="16" spans="1:15" ht="18.75" x14ac:dyDescent="0.3">
      <c r="A16" s="20" t="s">
        <v>54</v>
      </c>
      <c r="B16" s="32" t="s">
        <v>57</v>
      </c>
      <c r="C16" s="33">
        <v>155.9398922597108</v>
      </c>
      <c r="D16" s="22">
        <f t="shared" si="0"/>
        <v>5.5006237595690388</v>
      </c>
      <c r="E16" s="23">
        <f t="shared" si="1"/>
        <v>0.34378283126038534</v>
      </c>
      <c r="F16" s="6">
        <f t="shared" si="7"/>
        <v>626</v>
      </c>
      <c r="G16" s="24">
        <v>64</v>
      </c>
      <c r="H16" s="25">
        <v>2</v>
      </c>
      <c r="I16" s="25">
        <v>26</v>
      </c>
      <c r="J16" s="26">
        <v>36</v>
      </c>
      <c r="K16" s="79">
        <f t="shared" si="2"/>
        <v>4.0143672727272728</v>
      </c>
      <c r="L16" s="53">
        <f t="shared" si="3"/>
        <v>0.79517818181818178</v>
      </c>
      <c r="M16" s="29">
        <f t="shared" si="4"/>
        <v>0.5</v>
      </c>
      <c r="N16" s="30">
        <f t="shared" si="5"/>
        <v>0.20967741935483872</v>
      </c>
      <c r="O16" s="31">
        <f t="shared" si="6"/>
        <v>0.29032258064516131</v>
      </c>
    </row>
    <row r="17" spans="1:15" ht="18.75" x14ac:dyDescent="0.3">
      <c r="A17" s="20" t="s">
        <v>46</v>
      </c>
      <c r="B17" s="32" t="s">
        <v>48</v>
      </c>
      <c r="C17" s="33">
        <v>142.04706549475472</v>
      </c>
      <c r="D17" s="22">
        <f t="shared" si="0"/>
        <v>5.0105681882619777</v>
      </c>
      <c r="E17" s="23">
        <f t="shared" si="1"/>
        <v>0.31315490629355097</v>
      </c>
      <c r="F17" s="6">
        <f t="shared" si="7"/>
        <v>546.25</v>
      </c>
      <c r="G17" s="24">
        <f>2.5*40</f>
        <v>100</v>
      </c>
      <c r="H17" s="25">
        <f>2.5*1</f>
        <v>2.5</v>
      </c>
      <c r="I17" s="25">
        <f>2.5*2.5</f>
        <v>6.25</v>
      </c>
      <c r="J17" s="26">
        <f>2.5*10</f>
        <v>25</v>
      </c>
      <c r="K17" s="79">
        <f t="shared" si="2"/>
        <v>3.8455563872255496</v>
      </c>
      <c r="L17" s="53">
        <f t="shared" si="3"/>
        <v>0.90638972055888245</v>
      </c>
      <c r="M17" s="29">
        <f t="shared" si="4"/>
        <v>0.75728155339805825</v>
      </c>
      <c r="N17" s="30">
        <f t="shared" si="5"/>
        <v>4.8543689320388349E-2</v>
      </c>
      <c r="O17" s="31">
        <f t="shared" si="6"/>
        <v>0.1941747572815534</v>
      </c>
    </row>
    <row r="18" spans="1:15" ht="18.75" x14ac:dyDescent="0.3">
      <c r="A18" s="20" t="s">
        <v>54</v>
      </c>
      <c r="B18" s="32" t="s">
        <v>58</v>
      </c>
      <c r="C18" s="33">
        <v>198.46895378508646</v>
      </c>
      <c r="D18" s="22">
        <f t="shared" si="0"/>
        <v>7.0007938758151393</v>
      </c>
      <c r="E18" s="23">
        <f t="shared" si="1"/>
        <v>0.43754178524049042</v>
      </c>
      <c r="F18" s="6">
        <f t="shared" si="7"/>
        <v>760</v>
      </c>
      <c r="G18" s="24">
        <v>112</v>
      </c>
      <c r="H18" s="25">
        <v>8</v>
      </c>
      <c r="I18" s="25">
        <v>16</v>
      </c>
      <c r="J18" s="26">
        <v>50</v>
      </c>
      <c r="K18" s="79">
        <f t="shared" si="2"/>
        <v>3.8293142857142861</v>
      </c>
      <c r="L18" s="53">
        <f t="shared" si="3"/>
        <v>0.85655714285714291</v>
      </c>
      <c r="M18" s="29">
        <f t="shared" si="4"/>
        <v>0.61176470588235299</v>
      </c>
      <c r="N18" s="30">
        <f t="shared" si="5"/>
        <v>9.4117647058823528E-2</v>
      </c>
      <c r="O18" s="31">
        <f t="shared" si="6"/>
        <v>0.29411764705882354</v>
      </c>
    </row>
    <row r="19" spans="1:15" ht="18.75" x14ac:dyDescent="0.3">
      <c r="A19" s="20" t="s">
        <v>54</v>
      </c>
      <c r="B19" s="32" t="s">
        <v>56</v>
      </c>
      <c r="C19" s="33">
        <v>170.11624610150267</v>
      </c>
      <c r="D19" s="22">
        <f t="shared" si="0"/>
        <v>6.0006804649844048</v>
      </c>
      <c r="E19" s="23">
        <f t="shared" si="1"/>
        <v>0.37503581592042035</v>
      </c>
      <c r="F19" s="6">
        <f t="shared" si="7"/>
        <v>634</v>
      </c>
      <c r="G19" s="24">
        <v>88</v>
      </c>
      <c r="H19" s="25">
        <v>12</v>
      </c>
      <c r="I19" s="25">
        <v>18</v>
      </c>
      <c r="J19" s="26">
        <v>42</v>
      </c>
      <c r="K19" s="79">
        <f t="shared" si="2"/>
        <v>3.7268633333333341</v>
      </c>
      <c r="L19" s="53">
        <f t="shared" si="3"/>
        <v>0.79945333333333346</v>
      </c>
      <c r="M19" s="29">
        <f t="shared" si="4"/>
        <v>0.55882352941176472</v>
      </c>
      <c r="N19" s="30">
        <f t="shared" si="5"/>
        <v>0.13235294117647059</v>
      </c>
      <c r="O19" s="31">
        <f t="shared" si="6"/>
        <v>0.30882352941176472</v>
      </c>
    </row>
    <row r="20" spans="1:15" ht="18.75" x14ac:dyDescent="0.3">
      <c r="A20" s="20" t="s">
        <v>50</v>
      </c>
      <c r="B20" s="32" t="s">
        <v>61</v>
      </c>
      <c r="C20" s="33">
        <v>181.45732917493621</v>
      </c>
      <c r="D20" s="22">
        <f t="shared" si="0"/>
        <v>6.4007258293166993</v>
      </c>
      <c r="E20" s="23">
        <f t="shared" si="1"/>
        <v>0.40003820364844839</v>
      </c>
      <c r="F20" s="6">
        <f t="shared" si="7"/>
        <v>672</v>
      </c>
      <c r="G20" s="24">
        <v>4</v>
      </c>
      <c r="H20" s="25">
        <v>2</v>
      </c>
      <c r="I20" s="25">
        <v>64</v>
      </c>
      <c r="J20" s="26">
        <v>22</v>
      </c>
      <c r="K20" s="79">
        <f t="shared" si="2"/>
        <v>3.7033499999999999</v>
      </c>
      <c r="L20" s="53">
        <f t="shared" si="3"/>
        <v>0.48496250000000002</v>
      </c>
      <c r="M20" s="29">
        <f t="shared" si="4"/>
        <v>2.2727272727272728E-2</v>
      </c>
      <c r="N20" s="30">
        <f t="shared" si="5"/>
        <v>0.72727272727272729</v>
      </c>
      <c r="O20" s="31">
        <f t="shared" si="6"/>
        <v>0.25</v>
      </c>
    </row>
    <row r="21" spans="1:15" ht="18.75" x14ac:dyDescent="0.3">
      <c r="A21" s="20" t="s">
        <v>205</v>
      </c>
      <c r="B21" s="32" t="s">
        <v>206</v>
      </c>
      <c r="C21" s="33">
        <v>113</v>
      </c>
      <c r="D21" s="22">
        <f t="shared" si="0"/>
        <v>3.9859619999999998</v>
      </c>
      <c r="E21" s="23">
        <f t="shared" si="1"/>
        <v>0.24911816578483245</v>
      </c>
      <c r="F21" s="6">
        <v>410</v>
      </c>
      <c r="G21" s="24">
        <v>80</v>
      </c>
      <c r="H21" s="25"/>
      <c r="I21" s="25">
        <v>5</v>
      </c>
      <c r="J21" s="26">
        <v>15</v>
      </c>
      <c r="K21" s="79">
        <f t="shared" si="2"/>
        <v>3.6283185840707963</v>
      </c>
      <c r="L21" s="53">
        <f t="shared" si="3"/>
        <v>0.88495575221238942</v>
      </c>
      <c r="M21" s="29">
        <f t="shared" si="4"/>
        <v>0.8</v>
      </c>
      <c r="N21" s="30">
        <f t="shared" si="5"/>
        <v>0.05</v>
      </c>
      <c r="O21" s="31">
        <f t="shared" si="6"/>
        <v>0.15</v>
      </c>
    </row>
    <row r="22" spans="1:15" ht="18.75" x14ac:dyDescent="0.3">
      <c r="A22" s="20" t="s">
        <v>171</v>
      </c>
      <c r="B22" s="32" t="s">
        <v>173</v>
      </c>
      <c r="C22" s="33">
        <v>162</v>
      </c>
      <c r="D22" s="22">
        <f t="shared" si="0"/>
        <v>5.7143879999999996</v>
      </c>
      <c r="E22" s="23">
        <f t="shared" si="1"/>
        <v>0.35714285714285715</v>
      </c>
      <c r="F22" s="6">
        <f t="shared" ref="F22:F27" si="8">(4*SUM(G22-H22,J22))+(9*I22)</f>
        <v>580</v>
      </c>
      <c r="G22" s="24">
        <f>57*2</f>
        <v>114</v>
      </c>
      <c r="H22" s="25">
        <f>2*2</f>
        <v>4</v>
      </c>
      <c r="I22" s="25">
        <f>2*2</f>
        <v>4</v>
      </c>
      <c r="J22" s="26">
        <f>13*2</f>
        <v>26</v>
      </c>
      <c r="K22" s="79">
        <f t="shared" si="2"/>
        <v>3.5802469135802468</v>
      </c>
      <c r="L22" s="53">
        <f t="shared" si="3"/>
        <v>0.86419753086419748</v>
      </c>
      <c r="M22" s="29">
        <f t="shared" si="4"/>
        <v>0.7857142857142857</v>
      </c>
      <c r="N22" s="30">
        <f t="shared" si="5"/>
        <v>2.8571428571428571E-2</v>
      </c>
      <c r="O22" s="31">
        <f t="shared" si="6"/>
        <v>0.18571428571428572</v>
      </c>
    </row>
    <row r="23" spans="1:15" ht="18.75" x14ac:dyDescent="0.3">
      <c r="A23" s="20" t="s">
        <v>46</v>
      </c>
      <c r="B23" s="32" t="s">
        <v>157</v>
      </c>
      <c r="C23" s="33">
        <v>115.11199319535014</v>
      </c>
      <c r="D23" s="22">
        <f t="shared" si="0"/>
        <v>4.0604604479727806</v>
      </c>
      <c r="E23" s="23">
        <f t="shared" si="1"/>
        <v>0.25377423543948441</v>
      </c>
      <c r="F23" s="6">
        <f t="shared" si="8"/>
        <v>406</v>
      </c>
      <c r="G23" s="24">
        <v>48</v>
      </c>
      <c r="H23" s="25">
        <v>6</v>
      </c>
      <c r="I23" s="25">
        <v>14</v>
      </c>
      <c r="J23" s="26">
        <v>28</v>
      </c>
      <c r="K23" s="79">
        <f t="shared" si="2"/>
        <v>3.5270000000000006</v>
      </c>
      <c r="L23" s="53">
        <f t="shared" si="3"/>
        <v>0.72972413793103463</v>
      </c>
      <c r="M23" s="29">
        <f t="shared" si="4"/>
        <v>0.5</v>
      </c>
      <c r="N23" s="30">
        <f t="shared" si="5"/>
        <v>0.16666666666666666</v>
      </c>
      <c r="O23" s="31">
        <f t="shared" si="6"/>
        <v>0.33333333333333331</v>
      </c>
    </row>
    <row r="24" spans="1:15" ht="18.75" x14ac:dyDescent="0.3">
      <c r="A24" s="20" t="s">
        <v>171</v>
      </c>
      <c r="B24" s="32" t="s">
        <v>172</v>
      </c>
      <c r="C24" s="33">
        <v>170</v>
      </c>
      <c r="D24" s="22">
        <f t="shared" si="0"/>
        <v>5.9965799999999998</v>
      </c>
      <c r="E24" s="23">
        <f t="shared" si="1"/>
        <v>0.37477954144620812</v>
      </c>
      <c r="F24" s="6">
        <f t="shared" si="8"/>
        <v>575</v>
      </c>
      <c r="G24" s="24">
        <f>62*2</f>
        <v>124</v>
      </c>
      <c r="H24" s="25">
        <f>9*2</f>
        <v>18</v>
      </c>
      <c r="I24" s="25">
        <f>3.5*2</f>
        <v>7</v>
      </c>
      <c r="J24" s="26">
        <f>11*2</f>
        <v>22</v>
      </c>
      <c r="K24" s="79">
        <f t="shared" si="2"/>
        <v>3.3823529411764706</v>
      </c>
      <c r="L24" s="53">
        <f t="shared" si="3"/>
        <v>0.79411764705882348</v>
      </c>
      <c r="M24" s="29">
        <f t="shared" si="4"/>
        <v>0.78518518518518521</v>
      </c>
      <c r="N24" s="30">
        <f t="shared" si="5"/>
        <v>5.185185185185185E-2</v>
      </c>
      <c r="O24" s="31">
        <f t="shared" si="6"/>
        <v>0.16296296296296298</v>
      </c>
    </row>
    <row r="25" spans="1:15" ht="18.75" x14ac:dyDescent="0.3">
      <c r="A25" s="20" t="s">
        <v>187</v>
      </c>
      <c r="B25" s="32" t="s">
        <v>188</v>
      </c>
      <c r="C25" s="33">
        <v>113</v>
      </c>
      <c r="D25" s="22">
        <f t="shared" si="0"/>
        <v>3.9859619999999998</v>
      </c>
      <c r="E25" s="23">
        <f t="shared" si="1"/>
        <v>0.24911816578483245</v>
      </c>
      <c r="F25" s="6">
        <f t="shared" si="8"/>
        <v>366</v>
      </c>
      <c r="G25" s="24">
        <v>72</v>
      </c>
      <c r="H25" s="25">
        <v>6</v>
      </c>
      <c r="I25" s="25">
        <v>6</v>
      </c>
      <c r="J25" s="26">
        <v>12</v>
      </c>
      <c r="K25" s="79">
        <f t="shared" si="2"/>
        <v>3.2389380530973453</v>
      </c>
      <c r="L25" s="53">
        <f t="shared" si="3"/>
        <v>0.74336283185840712</v>
      </c>
      <c r="M25" s="29">
        <f t="shared" si="4"/>
        <v>0.7857142857142857</v>
      </c>
      <c r="N25" s="30">
        <f t="shared" si="5"/>
        <v>7.1428571428571425E-2</v>
      </c>
      <c r="O25" s="31">
        <f t="shared" si="6"/>
        <v>0.14285714285714285</v>
      </c>
    </row>
    <row r="26" spans="1:15" ht="18.75" x14ac:dyDescent="0.3">
      <c r="A26" s="20" t="s">
        <v>50</v>
      </c>
      <c r="B26" s="32" t="s">
        <v>52</v>
      </c>
      <c r="C26" s="33">
        <v>96.399206124184843</v>
      </c>
      <c r="D26" s="22">
        <f t="shared" si="0"/>
        <v>3.400385596824496</v>
      </c>
      <c r="E26" s="23">
        <f t="shared" si="1"/>
        <v>0.21252029568823819</v>
      </c>
      <c r="F26" s="6">
        <f t="shared" si="8"/>
        <v>309</v>
      </c>
      <c r="G26" s="24">
        <v>6</v>
      </c>
      <c r="H26" s="25">
        <v>2</v>
      </c>
      <c r="I26" s="25">
        <v>17</v>
      </c>
      <c r="J26" s="26">
        <v>35</v>
      </c>
      <c r="K26" s="79">
        <f t="shared" si="2"/>
        <v>3.2054205882352949</v>
      </c>
      <c r="L26" s="53">
        <f t="shared" si="3"/>
        <v>0.58091764705882365</v>
      </c>
      <c r="M26" s="29">
        <f t="shared" si="4"/>
        <v>7.1428571428571425E-2</v>
      </c>
      <c r="N26" s="30">
        <f t="shared" si="5"/>
        <v>0.30357142857142855</v>
      </c>
      <c r="O26" s="31">
        <f t="shared" si="6"/>
        <v>0.625</v>
      </c>
    </row>
    <row r="27" spans="1:15" ht="18.75" x14ac:dyDescent="0.3">
      <c r="A27" s="20" t="s">
        <v>187</v>
      </c>
      <c r="B27" s="32" t="s">
        <v>189</v>
      </c>
      <c r="C27" s="33">
        <v>113</v>
      </c>
      <c r="D27" s="22">
        <f t="shared" si="0"/>
        <v>3.9859619999999998</v>
      </c>
      <c r="E27" s="23">
        <f t="shared" si="1"/>
        <v>0.24911816578483245</v>
      </c>
      <c r="F27" s="6">
        <f t="shared" si="8"/>
        <v>357</v>
      </c>
      <c r="G27" s="24">
        <v>71</v>
      </c>
      <c r="H27" s="25">
        <v>3</v>
      </c>
      <c r="I27" s="25">
        <v>1</v>
      </c>
      <c r="J27" s="26">
        <v>19</v>
      </c>
      <c r="K27" s="79">
        <f t="shared" si="2"/>
        <v>3.1592920353982299</v>
      </c>
      <c r="L27" s="53">
        <f t="shared" si="3"/>
        <v>0.77876106194690264</v>
      </c>
      <c r="M27" s="29">
        <f t="shared" si="4"/>
        <v>0.77272727272727271</v>
      </c>
      <c r="N27" s="30">
        <f t="shared" si="5"/>
        <v>1.1363636363636364E-2</v>
      </c>
      <c r="O27" s="31">
        <f t="shared" si="6"/>
        <v>0.21590909090909091</v>
      </c>
    </row>
    <row r="28" spans="1:15" ht="18.75" x14ac:dyDescent="0.3">
      <c r="A28" s="20" t="s">
        <v>50</v>
      </c>
      <c r="B28" s="32" t="s">
        <v>217</v>
      </c>
      <c r="C28" s="33">
        <v>171</v>
      </c>
      <c r="D28" s="22">
        <f t="shared" si="0"/>
        <v>6.031854</v>
      </c>
      <c r="E28" s="23">
        <f t="shared" si="1"/>
        <v>0.37698412698412698</v>
      </c>
      <c r="F28" s="6">
        <v>520</v>
      </c>
      <c r="G28" s="24">
        <v>65</v>
      </c>
      <c r="H28" s="25">
        <v>19</v>
      </c>
      <c r="I28" s="25">
        <v>12</v>
      </c>
      <c r="J28" s="26">
        <v>22</v>
      </c>
      <c r="K28" s="79">
        <f t="shared" si="2"/>
        <v>3.0409356725146197</v>
      </c>
      <c r="L28" s="53">
        <f t="shared" si="3"/>
        <v>0.46783625730994149</v>
      </c>
      <c r="M28" s="29">
        <f t="shared" si="4"/>
        <v>0.57499999999999996</v>
      </c>
      <c r="N28" s="30">
        <f t="shared" si="5"/>
        <v>0.15</v>
      </c>
      <c r="O28" s="31">
        <f t="shared" si="6"/>
        <v>0.27500000000000002</v>
      </c>
    </row>
    <row r="29" spans="1:15" ht="18.75" x14ac:dyDescent="0.3">
      <c r="A29" s="20" t="s">
        <v>54</v>
      </c>
      <c r="B29" s="32" t="s">
        <v>55</v>
      </c>
      <c r="C29" s="33">
        <v>170.11624610150267</v>
      </c>
      <c r="D29" s="22">
        <f t="shared" si="0"/>
        <v>6.0006804649844048</v>
      </c>
      <c r="E29" s="23">
        <f t="shared" si="1"/>
        <v>0.37503581592042035</v>
      </c>
      <c r="F29" s="6">
        <f>(4*SUM(G29-H29,J29))+(9*I29)</f>
        <v>484</v>
      </c>
      <c r="G29" s="24">
        <v>96</v>
      </c>
      <c r="H29" s="25">
        <v>26</v>
      </c>
      <c r="I29" s="25">
        <v>4</v>
      </c>
      <c r="J29" s="26">
        <v>42</v>
      </c>
      <c r="K29" s="79">
        <f t="shared" si="2"/>
        <v>2.8451133333333338</v>
      </c>
      <c r="L29" s="53">
        <f t="shared" si="3"/>
        <v>0.68188666666666675</v>
      </c>
      <c r="M29" s="29">
        <f t="shared" si="4"/>
        <v>0.60344827586206895</v>
      </c>
      <c r="N29" s="30">
        <f t="shared" si="5"/>
        <v>3.4482758620689655E-2</v>
      </c>
      <c r="O29" s="31">
        <f t="shared" si="6"/>
        <v>0.36206896551724138</v>
      </c>
    </row>
    <row r="30" spans="1:15" ht="18.75" x14ac:dyDescent="0.3">
      <c r="A30" s="20" t="s">
        <v>50</v>
      </c>
      <c r="B30" s="32" t="s">
        <v>62</v>
      </c>
      <c r="C30" s="33">
        <v>170.11624610150267</v>
      </c>
      <c r="D30" s="22">
        <f t="shared" si="0"/>
        <v>6.0006804649844048</v>
      </c>
      <c r="E30" s="23">
        <f t="shared" si="1"/>
        <v>0.37503581592042035</v>
      </c>
      <c r="F30" s="6">
        <f>(4*SUM(G30-H30,J30))+(9*I30)</f>
        <v>478</v>
      </c>
      <c r="G30" s="24">
        <v>78</v>
      </c>
      <c r="H30" s="25">
        <v>8</v>
      </c>
      <c r="I30" s="25">
        <v>14</v>
      </c>
      <c r="J30" s="26">
        <v>18</v>
      </c>
      <c r="K30" s="79">
        <f t="shared" si="2"/>
        <v>2.8098433333333337</v>
      </c>
      <c r="L30" s="53">
        <f t="shared" si="3"/>
        <v>0.59959000000000007</v>
      </c>
      <c r="M30" s="29">
        <f t="shared" si="4"/>
        <v>0.68627450980392157</v>
      </c>
      <c r="N30" s="30">
        <f t="shared" si="5"/>
        <v>0.13725490196078433</v>
      </c>
      <c r="O30" s="31">
        <f t="shared" si="6"/>
        <v>0.17647058823529413</v>
      </c>
    </row>
    <row r="31" spans="1:15" ht="18.75" x14ac:dyDescent="0.3">
      <c r="A31" s="20" t="s">
        <v>190</v>
      </c>
      <c r="B31" s="32" t="s">
        <v>191</v>
      </c>
      <c r="C31" s="33">
        <v>82</v>
      </c>
      <c r="D31" s="22">
        <f t="shared" si="0"/>
        <v>2.892468</v>
      </c>
      <c r="E31" s="23">
        <f t="shared" si="1"/>
        <v>0.18077601410934743</v>
      </c>
      <c r="F31" s="6">
        <f>(4*SUM(G31-H31,J31))+(9*I31)</f>
        <v>199</v>
      </c>
      <c r="G31" s="24">
        <v>24</v>
      </c>
      <c r="H31" s="25">
        <v>1</v>
      </c>
      <c r="I31" s="25">
        <v>7</v>
      </c>
      <c r="J31" s="26">
        <v>11</v>
      </c>
      <c r="K31" s="79">
        <f t="shared" si="2"/>
        <v>2.4268292682926829</v>
      </c>
      <c r="L31" s="53">
        <f t="shared" si="3"/>
        <v>0.5</v>
      </c>
      <c r="M31" s="29">
        <f t="shared" si="4"/>
        <v>0.56097560975609762</v>
      </c>
      <c r="N31" s="30">
        <f t="shared" si="5"/>
        <v>0.17073170731707318</v>
      </c>
      <c r="O31" s="31">
        <f t="shared" si="6"/>
        <v>0.26829268292682928</v>
      </c>
    </row>
    <row r="32" spans="1:15" ht="18.75" x14ac:dyDescent="0.3">
      <c r="A32" s="20" t="s">
        <v>50</v>
      </c>
      <c r="B32" s="32" t="s">
        <v>53</v>
      </c>
      <c r="C32" s="33">
        <v>170.11624610150267</v>
      </c>
      <c r="D32" s="22">
        <f t="shared" si="0"/>
        <v>6.0006804649844048</v>
      </c>
      <c r="E32" s="23">
        <f t="shared" si="1"/>
        <v>0.37503581592042035</v>
      </c>
      <c r="F32" s="6">
        <f>(4*SUM(G32-H32,J32))+(9*I32)</f>
        <v>406</v>
      </c>
      <c r="G32" s="24">
        <v>77</v>
      </c>
      <c r="H32" s="25">
        <v>6</v>
      </c>
      <c r="I32" s="25">
        <v>6</v>
      </c>
      <c r="J32" s="26">
        <v>17</v>
      </c>
      <c r="K32" s="79">
        <f t="shared" si="2"/>
        <v>2.3866033333333339</v>
      </c>
      <c r="L32" s="53">
        <f t="shared" si="3"/>
        <v>0.55256333333333341</v>
      </c>
      <c r="M32" s="29">
        <f t="shared" si="4"/>
        <v>0.75531914893617025</v>
      </c>
      <c r="N32" s="30">
        <f t="shared" si="5"/>
        <v>6.3829787234042548E-2</v>
      </c>
      <c r="O32" s="31">
        <f t="shared" si="6"/>
        <v>0.18085106382978725</v>
      </c>
    </row>
    <row r="33" spans="1:15" ht="18.75" x14ac:dyDescent="0.3">
      <c r="A33" s="20" t="s">
        <v>63</v>
      </c>
      <c r="B33" s="32" t="s">
        <v>64</v>
      </c>
      <c r="C33" s="33">
        <v>205.55713070598242</v>
      </c>
      <c r="D33" s="22">
        <f t="shared" si="0"/>
        <v>7.2508222285228241</v>
      </c>
      <c r="E33" s="23">
        <f t="shared" si="1"/>
        <v>0.45316827757050793</v>
      </c>
      <c r="F33" s="6">
        <f>(4*SUM(G33-H33,J33))+(9*I33)</f>
        <v>222</v>
      </c>
      <c r="G33" s="24">
        <v>42</v>
      </c>
      <c r="H33" s="25">
        <v>14</v>
      </c>
      <c r="I33" s="25">
        <v>6</v>
      </c>
      <c r="J33" s="26">
        <v>14</v>
      </c>
      <c r="K33" s="79">
        <f t="shared" si="2"/>
        <v>1.0799917241379311</v>
      </c>
      <c r="L33" s="53">
        <f t="shared" si="3"/>
        <v>0.23351172413793103</v>
      </c>
      <c r="M33" s="29">
        <f t="shared" si="4"/>
        <v>0.58333333333333337</v>
      </c>
      <c r="N33" s="30">
        <f t="shared" si="5"/>
        <v>0.125</v>
      </c>
      <c r="O33" s="31">
        <f t="shared" si="6"/>
        <v>0.29166666666666669</v>
      </c>
    </row>
    <row r="34" spans="1:15" ht="19.5" thickBot="1" x14ac:dyDescent="0.35">
      <c r="A34" s="37" t="s">
        <v>50</v>
      </c>
      <c r="B34" s="121" t="s">
        <v>51</v>
      </c>
      <c r="C34" s="62">
        <v>282</v>
      </c>
      <c r="D34" s="22">
        <f t="shared" si="0"/>
        <v>9.9472679999999993</v>
      </c>
      <c r="E34" s="40">
        <f t="shared" si="1"/>
        <v>0.62169312169312163</v>
      </c>
      <c r="F34" s="7">
        <v>260</v>
      </c>
      <c r="G34" s="83">
        <v>48</v>
      </c>
      <c r="H34" s="84">
        <v>14</v>
      </c>
      <c r="I34" s="84">
        <v>10</v>
      </c>
      <c r="J34" s="85">
        <v>22</v>
      </c>
      <c r="K34" s="109">
        <f t="shared" si="2"/>
        <v>0.92198581560283688</v>
      </c>
      <c r="L34" s="67">
        <f t="shared" si="3"/>
        <v>0.23404255319148937</v>
      </c>
      <c r="M34" s="46">
        <f t="shared" si="4"/>
        <v>0.51515151515151514</v>
      </c>
      <c r="N34" s="47">
        <f t="shared" si="5"/>
        <v>0.15151515151515152</v>
      </c>
      <c r="O34" s="48">
        <f t="shared" si="6"/>
        <v>0.33333333333333331</v>
      </c>
    </row>
    <row r="35" spans="1:15" ht="19.5" thickBot="1" x14ac:dyDescent="0.35">
      <c r="B35" s="72" t="s">
        <v>158</v>
      </c>
      <c r="C35" s="126">
        <v>95.068670258009632</v>
      </c>
      <c r="D35" s="127">
        <f>C35*0.03527</f>
        <v>3.3530720000000001</v>
      </c>
      <c r="E35" s="128"/>
      <c r="F35" s="126">
        <f>AVERAGE(F4:F8)</f>
        <v>635.20000000000005</v>
      </c>
      <c r="G35" s="129">
        <f>AVERAGE(G4:G8)</f>
        <v>39.6</v>
      </c>
      <c r="H35" s="130">
        <f>AVERAGE(H4:H8)</f>
        <v>4.2</v>
      </c>
      <c r="I35" s="130">
        <f>AVERAGE(I4:I8)</f>
        <v>32.4</v>
      </c>
      <c r="J35" s="131">
        <f>AVERAGE(J4:J8)</f>
        <v>31</v>
      </c>
      <c r="K35" s="73">
        <f>SUM(F4:F8)/SUM(C4:C8)</f>
        <v>5.5717746211537147</v>
      </c>
      <c r="L35" s="67">
        <f t="shared" ref="L35" si="9">SUM(G35-H35,I35,J35)/C35</f>
        <v>1.0392487843983071</v>
      </c>
      <c r="M35" s="46">
        <f t="shared" ref="M35" si="10">(G35-H35)/SUM(G35-H35,I35:J35)</f>
        <v>0.3582995951417004</v>
      </c>
      <c r="N35" s="47">
        <f t="shared" ref="N35" si="11">I35/SUM(G35,-H35,I35:J35)</f>
        <v>0.32793522267206476</v>
      </c>
      <c r="O35" s="48">
        <f t="shared" ref="O35" si="12">J35/SUM(G35-H35,,I35:J35)</f>
        <v>0.31376518218623484</v>
      </c>
    </row>
    <row r="37" spans="1:15" ht="21.75" thickBot="1" x14ac:dyDescent="0.4">
      <c r="A37" s="78" t="s">
        <v>195</v>
      </c>
    </row>
    <row r="38" spans="1:15" ht="18.75" x14ac:dyDescent="0.3">
      <c r="A38" s="80" t="s">
        <v>167</v>
      </c>
      <c r="B38" s="111" t="s">
        <v>169</v>
      </c>
      <c r="C38" s="74">
        <v>112</v>
      </c>
      <c r="D38" s="10">
        <v>7.25</v>
      </c>
      <c r="E38" s="11">
        <f t="shared" ref="E38:E46" si="13">C38/453.6</f>
        <v>0.24691358024691357</v>
      </c>
      <c r="F38" s="5">
        <f t="shared" ref="F38:F46" si="14">(4*SUM(G38-H38,J38))+(9*I38)</f>
        <v>444</v>
      </c>
      <c r="G38" s="12">
        <v>80</v>
      </c>
      <c r="H38" s="13">
        <v>4</v>
      </c>
      <c r="I38" s="13">
        <v>12</v>
      </c>
      <c r="J38" s="14">
        <v>8</v>
      </c>
      <c r="K38" s="106">
        <f t="shared" ref="K38:K46" si="15">F38/C38</f>
        <v>3.9642857142857144</v>
      </c>
      <c r="L38" s="16">
        <f t="shared" ref="L38:L46" si="16">SUM(G38-H38,I38,J38)/C38</f>
        <v>0.8571428571428571</v>
      </c>
      <c r="M38" s="17">
        <f t="shared" ref="M38:M46" si="17">(G38-H38)/SUM(G38-H38,I38:J38)</f>
        <v>0.79166666666666663</v>
      </c>
      <c r="N38" s="18">
        <f t="shared" ref="N38:N46" si="18">I38/SUM(G38,-H38,I38:J38)</f>
        <v>0.125</v>
      </c>
      <c r="O38" s="19">
        <f t="shared" ref="O38:O46" si="19">J38/SUM(G38-H38,,I38:J38)</f>
        <v>8.3333333333333329E-2</v>
      </c>
    </row>
    <row r="39" spans="1:15" ht="18.75" x14ac:dyDescent="0.3">
      <c r="A39" s="20" t="s">
        <v>174</v>
      </c>
      <c r="B39" s="32" t="s">
        <v>175</v>
      </c>
      <c r="C39" s="33">
        <v>126</v>
      </c>
      <c r="D39" s="22">
        <v>7.25</v>
      </c>
      <c r="E39" s="23">
        <f t="shared" si="13"/>
        <v>0.27777777777777779</v>
      </c>
      <c r="F39" s="6">
        <f t="shared" si="14"/>
        <v>463</v>
      </c>
      <c r="G39" s="24">
        <f>44*2</f>
        <v>88</v>
      </c>
      <c r="H39" s="25">
        <f>3*2</f>
        <v>6</v>
      </c>
      <c r="I39" s="25">
        <f>3.5*2</f>
        <v>7</v>
      </c>
      <c r="J39" s="26">
        <f>9*2</f>
        <v>18</v>
      </c>
      <c r="K39" s="79">
        <f t="shared" si="15"/>
        <v>3.6746031746031744</v>
      </c>
      <c r="L39" s="53">
        <f t="shared" si="16"/>
        <v>0.84920634920634919</v>
      </c>
      <c r="M39" s="29">
        <f t="shared" si="17"/>
        <v>0.76635514018691586</v>
      </c>
      <c r="N39" s="30">
        <f t="shared" si="18"/>
        <v>6.5420560747663545E-2</v>
      </c>
      <c r="O39" s="31">
        <f t="shared" si="19"/>
        <v>0.16822429906542055</v>
      </c>
    </row>
    <row r="40" spans="1:15" ht="18.75" x14ac:dyDescent="0.3">
      <c r="A40" s="20" t="s">
        <v>167</v>
      </c>
      <c r="B40" s="32" t="s">
        <v>168</v>
      </c>
      <c r="C40" s="33">
        <v>116</v>
      </c>
      <c r="D40" s="22">
        <v>7.25</v>
      </c>
      <c r="E40" s="23">
        <f t="shared" si="13"/>
        <v>0.25573192239858905</v>
      </c>
      <c r="F40" s="6">
        <f t="shared" si="14"/>
        <v>424</v>
      </c>
      <c r="G40" s="24">
        <f>4*21</f>
        <v>84</v>
      </c>
      <c r="H40" s="25">
        <v>8</v>
      </c>
      <c r="I40" s="25">
        <v>8</v>
      </c>
      <c r="J40" s="26">
        <v>12</v>
      </c>
      <c r="K40" s="79">
        <f t="shared" si="15"/>
        <v>3.6551724137931036</v>
      </c>
      <c r="L40" s="53">
        <f t="shared" si="16"/>
        <v>0.82758620689655171</v>
      </c>
      <c r="M40" s="29">
        <f t="shared" si="17"/>
        <v>0.79166666666666663</v>
      </c>
      <c r="N40" s="30">
        <f t="shared" si="18"/>
        <v>8.3333333333333329E-2</v>
      </c>
      <c r="O40" s="31">
        <f t="shared" si="19"/>
        <v>0.125</v>
      </c>
    </row>
    <row r="41" spans="1:15" ht="37.5" x14ac:dyDescent="0.3">
      <c r="A41" s="20" t="s">
        <v>177</v>
      </c>
      <c r="B41" s="90" t="s">
        <v>179</v>
      </c>
      <c r="C41" s="33">
        <v>177.5</v>
      </c>
      <c r="D41" s="22">
        <v>7.25</v>
      </c>
      <c r="E41" s="23">
        <f t="shared" si="13"/>
        <v>0.39131393298059963</v>
      </c>
      <c r="F41" s="6">
        <f t="shared" si="14"/>
        <v>641.25</v>
      </c>
      <c r="G41" s="24">
        <f>2.5*46</f>
        <v>115</v>
      </c>
      <c r="H41" s="25">
        <f>2.5*2</f>
        <v>5</v>
      </c>
      <c r="I41" s="25">
        <f>2.5*4.5</f>
        <v>11.25</v>
      </c>
      <c r="J41" s="26">
        <f>2.5*10</f>
        <v>25</v>
      </c>
      <c r="K41" s="79">
        <f t="shared" si="15"/>
        <v>3.612676056338028</v>
      </c>
      <c r="L41" s="53">
        <f t="shared" si="16"/>
        <v>0.823943661971831</v>
      </c>
      <c r="M41" s="29">
        <f t="shared" si="17"/>
        <v>0.75213675213675213</v>
      </c>
      <c r="N41" s="30">
        <f t="shared" si="18"/>
        <v>7.6923076923076927E-2</v>
      </c>
      <c r="O41" s="31">
        <f t="shared" si="19"/>
        <v>0.17094017094017094</v>
      </c>
    </row>
    <row r="42" spans="1:15" ht="18.75" x14ac:dyDescent="0.3">
      <c r="A42" s="20" t="s">
        <v>181</v>
      </c>
      <c r="B42" s="32" t="s">
        <v>182</v>
      </c>
      <c r="C42" s="33">
        <v>112</v>
      </c>
      <c r="D42" s="22">
        <v>7.25</v>
      </c>
      <c r="E42" s="23">
        <f t="shared" si="13"/>
        <v>0.24691358024691357</v>
      </c>
      <c r="F42" s="6">
        <f t="shared" si="14"/>
        <v>371</v>
      </c>
      <c r="G42" s="24">
        <v>82</v>
      </c>
      <c r="H42" s="25">
        <v>8</v>
      </c>
      <c r="I42" s="25">
        <v>3</v>
      </c>
      <c r="J42" s="26">
        <v>12</v>
      </c>
      <c r="K42" s="79">
        <f t="shared" si="15"/>
        <v>3.3125</v>
      </c>
      <c r="L42" s="53">
        <f t="shared" si="16"/>
        <v>0.7946428571428571</v>
      </c>
      <c r="M42" s="29">
        <f t="shared" si="17"/>
        <v>0.8314606741573034</v>
      </c>
      <c r="N42" s="30">
        <f t="shared" si="18"/>
        <v>3.3707865168539325E-2</v>
      </c>
      <c r="O42" s="31">
        <f t="shared" si="19"/>
        <v>0.1348314606741573</v>
      </c>
    </row>
    <row r="43" spans="1:15" ht="18.75" x14ac:dyDescent="0.3">
      <c r="A43" s="20" t="s">
        <v>174</v>
      </c>
      <c r="B43" s="32" t="s">
        <v>176</v>
      </c>
      <c r="C43" s="33">
        <v>128</v>
      </c>
      <c r="D43" s="22">
        <v>7.25</v>
      </c>
      <c r="E43" s="23">
        <f t="shared" si="13"/>
        <v>0.2821869488536155</v>
      </c>
      <c r="F43" s="6">
        <f t="shared" si="14"/>
        <v>418</v>
      </c>
      <c r="G43" s="24">
        <v>94</v>
      </c>
      <c r="H43" s="25">
        <v>6</v>
      </c>
      <c r="I43" s="25">
        <v>2</v>
      </c>
      <c r="J43" s="26">
        <v>12</v>
      </c>
      <c r="K43" s="79">
        <f t="shared" si="15"/>
        <v>3.265625</v>
      </c>
      <c r="L43" s="53">
        <f t="shared" si="16"/>
        <v>0.796875</v>
      </c>
      <c r="M43" s="29">
        <f t="shared" si="17"/>
        <v>0.86274509803921573</v>
      </c>
      <c r="N43" s="30">
        <f t="shared" si="18"/>
        <v>1.9607843137254902E-2</v>
      </c>
      <c r="O43" s="31">
        <f t="shared" si="19"/>
        <v>0.11764705882352941</v>
      </c>
    </row>
    <row r="44" spans="1:15" ht="18.75" x14ac:dyDescent="0.3">
      <c r="A44" s="20" t="s">
        <v>178</v>
      </c>
      <c r="B44" s="32" t="s">
        <v>180</v>
      </c>
      <c r="C44" s="33">
        <v>196</v>
      </c>
      <c r="D44" s="22">
        <v>7.25</v>
      </c>
      <c r="E44" s="23">
        <f t="shared" si="13"/>
        <v>0.43209876543209874</v>
      </c>
      <c r="F44" s="6">
        <f t="shared" si="14"/>
        <v>610</v>
      </c>
      <c r="G44" s="24">
        <v>92</v>
      </c>
      <c r="H44" s="25">
        <v>4</v>
      </c>
      <c r="I44" s="25">
        <v>18</v>
      </c>
      <c r="J44" s="26">
        <v>24</v>
      </c>
      <c r="K44" s="79">
        <f t="shared" si="15"/>
        <v>3.1122448979591835</v>
      </c>
      <c r="L44" s="53">
        <f t="shared" si="16"/>
        <v>0.66326530612244894</v>
      </c>
      <c r="M44" s="29">
        <f t="shared" si="17"/>
        <v>0.67692307692307696</v>
      </c>
      <c r="N44" s="30">
        <f t="shared" si="18"/>
        <v>0.13846153846153847</v>
      </c>
      <c r="O44" s="31">
        <f t="shared" si="19"/>
        <v>0.18461538461538463</v>
      </c>
    </row>
    <row r="45" spans="1:15" ht="18.75" x14ac:dyDescent="0.3">
      <c r="A45" s="20" t="s">
        <v>183</v>
      </c>
      <c r="B45" s="32" t="s">
        <v>184</v>
      </c>
      <c r="C45" s="33">
        <v>56</v>
      </c>
      <c r="D45" s="22">
        <v>7.25</v>
      </c>
      <c r="E45" s="23">
        <f t="shared" si="13"/>
        <v>0.12345679012345678</v>
      </c>
      <c r="F45" s="6">
        <f t="shared" si="14"/>
        <v>69</v>
      </c>
      <c r="G45" s="24">
        <v>0</v>
      </c>
      <c r="H45" s="25">
        <v>0</v>
      </c>
      <c r="I45" s="25">
        <v>1</v>
      </c>
      <c r="J45" s="26">
        <v>15</v>
      </c>
      <c r="K45" s="79">
        <f t="shared" si="15"/>
        <v>1.2321428571428572</v>
      </c>
      <c r="L45" s="53">
        <f t="shared" si="16"/>
        <v>0.2857142857142857</v>
      </c>
      <c r="M45" s="29">
        <f t="shared" si="17"/>
        <v>0</v>
      </c>
      <c r="N45" s="30">
        <f t="shared" si="18"/>
        <v>6.25E-2</v>
      </c>
      <c r="O45" s="31">
        <f t="shared" si="19"/>
        <v>0.9375</v>
      </c>
    </row>
    <row r="46" spans="1:15" ht="19.5" thickBot="1" x14ac:dyDescent="0.35">
      <c r="A46" s="65" t="s">
        <v>185</v>
      </c>
      <c r="B46" s="75" t="s">
        <v>186</v>
      </c>
      <c r="C46" s="76">
        <v>70</v>
      </c>
      <c r="D46" s="39">
        <v>7.25</v>
      </c>
      <c r="E46" s="66">
        <f t="shared" si="13"/>
        <v>0.15432098765432098</v>
      </c>
      <c r="F46" s="63">
        <f t="shared" si="14"/>
        <v>77</v>
      </c>
      <c r="G46" s="132">
        <v>0</v>
      </c>
      <c r="H46" s="133">
        <v>0</v>
      </c>
      <c r="I46" s="133">
        <v>1</v>
      </c>
      <c r="J46" s="134">
        <v>17</v>
      </c>
      <c r="K46" s="77">
        <f t="shared" si="15"/>
        <v>1.1000000000000001</v>
      </c>
      <c r="L46" s="67">
        <f t="shared" si="16"/>
        <v>0.25714285714285712</v>
      </c>
      <c r="M46" s="68">
        <f t="shared" si="17"/>
        <v>0</v>
      </c>
      <c r="N46" s="69">
        <f t="shared" si="18"/>
        <v>5.5555555555555552E-2</v>
      </c>
      <c r="O46" s="70">
        <f t="shared" si="19"/>
        <v>0.94444444444444442</v>
      </c>
    </row>
  </sheetData>
  <sortState xmlns:xlrd2="http://schemas.microsoft.com/office/spreadsheetml/2017/richdata2" ref="A5:O34">
    <sortCondition descending="1" ref="K4:K34"/>
  </sortState>
  <mergeCells count="11">
    <mergeCell ref="M2:O2"/>
    <mergeCell ref="C2:C3"/>
    <mergeCell ref="F2:F3"/>
    <mergeCell ref="K2:K3"/>
    <mergeCell ref="A2:A3"/>
    <mergeCell ref="B2:B3"/>
    <mergeCell ref="L2:L3"/>
    <mergeCell ref="G2:G3"/>
    <mergeCell ref="H2:H3"/>
    <mergeCell ref="I2:I3"/>
    <mergeCell ref="J2:J3"/>
  </mergeCells>
  <phoneticPr fontId="4" type="noConversion"/>
  <pageMargins left="0.7" right="0.7" top="0.75" bottom="0.75" header="0.3" footer="0.3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workbookViewId="0">
      <selection activeCell="G1" sqref="G1:J1048576"/>
    </sheetView>
  </sheetViews>
  <sheetFormatPr defaultRowHeight="15" x14ac:dyDescent="0.25"/>
  <cols>
    <col min="1" max="1" width="21" style="4" customWidth="1"/>
    <col min="2" max="2" width="51.5703125" style="4" bestFit="1" customWidth="1"/>
    <col min="3" max="3" width="10.140625" style="4" customWidth="1"/>
    <col min="4" max="4" width="8.85546875" style="4" hidden="1" customWidth="1"/>
    <col min="5" max="5" width="10" style="4" customWidth="1"/>
    <col min="6" max="6" width="11.42578125" style="4" customWidth="1"/>
    <col min="7" max="10" width="11.42578125" style="4" hidden="1" customWidth="1"/>
    <col min="11" max="11" width="11.42578125" style="4" customWidth="1"/>
    <col min="12" max="12" width="13.85546875" style="4" customWidth="1"/>
    <col min="13" max="14" width="9.140625" style="4"/>
    <col min="15" max="15" width="11.85546875" style="4" customWidth="1"/>
    <col min="16" max="16384" width="9.140625" style="4"/>
  </cols>
  <sheetData>
    <row r="1" spans="1:15" ht="32.25" thickBot="1" x14ac:dyDescent="0.55000000000000004">
      <c r="A1" s="114" t="s">
        <v>110</v>
      </c>
    </row>
    <row r="2" spans="1:15" s="139" customFormat="1" ht="19.5" customHeight="1" x14ac:dyDescent="0.3">
      <c r="A2" s="175" t="s">
        <v>13</v>
      </c>
      <c r="B2" s="195" t="s">
        <v>14</v>
      </c>
      <c r="C2" s="175" t="s">
        <v>108</v>
      </c>
      <c r="D2" s="137"/>
      <c r="E2" s="138"/>
      <c r="F2" s="180" t="s">
        <v>0</v>
      </c>
      <c r="G2" s="190" t="s">
        <v>1</v>
      </c>
      <c r="H2" s="184" t="s">
        <v>2</v>
      </c>
      <c r="I2" s="184" t="s">
        <v>3</v>
      </c>
      <c r="J2" s="184" t="s">
        <v>4</v>
      </c>
      <c r="K2" s="177" t="s">
        <v>5</v>
      </c>
      <c r="L2" s="178" t="s">
        <v>74</v>
      </c>
      <c r="M2" s="175" t="s">
        <v>78</v>
      </c>
      <c r="N2" s="176"/>
      <c r="O2" s="177"/>
    </row>
    <row r="3" spans="1:15" s="139" customFormat="1" ht="37.5" customHeight="1" thickBot="1" x14ac:dyDescent="0.35">
      <c r="A3" s="194"/>
      <c r="B3" s="196"/>
      <c r="C3" s="194"/>
      <c r="D3" s="116" t="s">
        <v>16</v>
      </c>
      <c r="E3" s="136" t="s">
        <v>17</v>
      </c>
      <c r="F3" s="181"/>
      <c r="G3" s="191"/>
      <c r="H3" s="185"/>
      <c r="I3" s="185"/>
      <c r="J3" s="185"/>
      <c r="K3" s="198"/>
      <c r="L3" s="197"/>
      <c r="M3" s="118" t="s">
        <v>79</v>
      </c>
      <c r="N3" s="119" t="s">
        <v>80</v>
      </c>
      <c r="O3" s="120" t="s">
        <v>81</v>
      </c>
    </row>
    <row r="4" spans="1:15" s="139" customFormat="1" ht="18.75" x14ac:dyDescent="0.3">
      <c r="A4" s="111" t="s">
        <v>105</v>
      </c>
      <c r="B4" s="112" t="s">
        <v>106</v>
      </c>
      <c r="C4" s="9">
        <v>65</v>
      </c>
      <c r="D4" s="10">
        <f t="shared" ref="D4:D34" si="0">C4*0.03527</f>
        <v>2.2925500000000003</v>
      </c>
      <c r="E4" s="11">
        <f t="shared" ref="E4:E34" si="1">C4/453.6</f>
        <v>0.14329805996472664</v>
      </c>
      <c r="F4" s="5">
        <f t="shared" ref="F4:F34" si="2">(4*SUM(G4-H4,J4))+(9*I4)</f>
        <v>322</v>
      </c>
      <c r="G4" s="12">
        <v>37</v>
      </c>
      <c r="H4" s="13">
        <v>4</v>
      </c>
      <c r="I4" s="13">
        <v>18</v>
      </c>
      <c r="J4" s="14">
        <v>7</v>
      </c>
      <c r="K4" s="15">
        <f t="shared" ref="K4:K34" si="3">F4/C4</f>
        <v>4.953846153846154</v>
      </c>
      <c r="L4" s="16">
        <f t="shared" ref="L4:L34" si="4">SUM(G4,-H4,I4,J4)/C4</f>
        <v>0.89230769230769236</v>
      </c>
      <c r="M4" s="17">
        <f t="shared" ref="M4:M34" si="5">(G4-H4)/SUM(G4-H4,I4:J4)</f>
        <v>0.56896551724137934</v>
      </c>
      <c r="N4" s="18">
        <f t="shared" ref="N4:N34" si="6">I4/SUM(G4,-H4,I4:J4)</f>
        <v>0.31034482758620691</v>
      </c>
      <c r="O4" s="19">
        <f t="shared" ref="O4:O34" si="7">J4/SUM(G4-H4,,I4:J4)</f>
        <v>0.1206896551724138</v>
      </c>
    </row>
    <row r="5" spans="1:15" s="139" customFormat="1" ht="18.75" x14ac:dyDescent="0.3">
      <c r="A5" s="32" t="s">
        <v>100</v>
      </c>
      <c r="B5" s="113" t="s">
        <v>135</v>
      </c>
      <c r="C5" s="21">
        <v>80</v>
      </c>
      <c r="D5" s="22">
        <f t="shared" si="0"/>
        <v>2.8216000000000001</v>
      </c>
      <c r="E5" s="23">
        <f t="shared" si="1"/>
        <v>0.17636684303350969</v>
      </c>
      <c r="F5" s="6">
        <f t="shared" si="2"/>
        <v>392</v>
      </c>
      <c r="G5" s="24">
        <v>40</v>
      </c>
      <c r="H5" s="25">
        <v>4</v>
      </c>
      <c r="I5" s="25">
        <v>24</v>
      </c>
      <c r="J5" s="26">
        <v>8</v>
      </c>
      <c r="K5" s="27">
        <f t="shared" si="3"/>
        <v>4.9000000000000004</v>
      </c>
      <c r="L5" s="28">
        <f t="shared" si="4"/>
        <v>0.85</v>
      </c>
      <c r="M5" s="29">
        <f t="shared" si="5"/>
        <v>0.52941176470588236</v>
      </c>
      <c r="N5" s="30">
        <f t="shared" si="6"/>
        <v>0.35294117647058826</v>
      </c>
      <c r="O5" s="31">
        <f t="shared" si="7"/>
        <v>0.11764705882352941</v>
      </c>
    </row>
    <row r="6" spans="1:15" s="139" customFormat="1" ht="18.75" x14ac:dyDescent="0.3">
      <c r="A6" s="89" t="s">
        <v>207</v>
      </c>
      <c r="B6" s="113" t="s">
        <v>208</v>
      </c>
      <c r="C6" s="50">
        <v>40</v>
      </c>
      <c r="D6" s="22">
        <f t="shared" ref="D6" si="8">C6*0.03527</f>
        <v>1.4108000000000001</v>
      </c>
      <c r="E6" s="23">
        <f t="shared" ref="E6" si="9">C6/453.6</f>
        <v>8.8183421516754845E-2</v>
      </c>
      <c r="F6" s="61">
        <v>190</v>
      </c>
      <c r="G6" s="57">
        <v>15</v>
      </c>
      <c r="H6" s="58">
        <v>3</v>
      </c>
      <c r="I6" s="58">
        <v>12</v>
      </c>
      <c r="J6" s="59">
        <v>10</v>
      </c>
      <c r="K6" s="27">
        <f t="shared" ref="K6" si="10">F6/C6</f>
        <v>4.75</v>
      </c>
      <c r="L6" s="28">
        <f t="shared" ref="L6" si="11">SUM(G6,-H6,I6,J6)/C6</f>
        <v>0.85</v>
      </c>
      <c r="M6" s="29">
        <f t="shared" ref="M6" si="12">(G6-H6)/SUM(G6-H6,I6:J6)</f>
        <v>0.35294117647058826</v>
      </c>
      <c r="N6" s="30">
        <f t="shared" ref="N6" si="13">I6/SUM(G6,-H6,I6:J6)</f>
        <v>0.35294117647058826</v>
      </c>
      <c r="O6" s="31">
        <f t="shared" ref="O6" si="14">J6/SUM(G6-H6,,I6:J6)</f>
        <v>0.29411764705882354</v>
      </c>
    </row>
    <row r="7" spans="1:15" s="139" customFormat="1" ht="18.75" x14ac:dyDescent="0.3">
      <c r="A7" s="89" t="s">
        <v>101</v>
      </c>
      <c r="B7" s="140" t="s">
        <v>218</v>
      </c>
      <c r="C7" s="50">
        <v>86</v>
      </c>
      <c r="D7" s="22">
        <f t="shared" ref="D7" si="15">C7*0.03527</f>
        <v>3.03322</v>
      </c>
      <c r="E7" s="23">
        <f t="shared" ref="E7" si="16">C7/453.6</f>
        <v>0.18959435626102292</v>
      </c>
      <c r="F7" s="61">
        <v>400</v>
      </c>
      <c r="G7" s="57">
        <v>43</v>
      </c>
      <c r="H7" s="58">
        <v>6</v>
      </c>
      <c r="I7" s="58">
        <v>22</v>
      </c>
      <c r="J7" s="59">
        <v>11</v>
      </c>
      <c r="K7" s="27">
        <f>F7/C7</f>
        <v>4.6511627906976747</v>
      </c>
      <c r="L7" s="28">
        <f>SUM(G7,-H7,I7,J7)/C7</f>
        <v>0.81395348837209303</v>
      </c>
      <c r="M7" s="29">
        <f>(G7-H7)/SUM(G7-H7,I7:J7)</f>
        <v>0.52857142857142858</v>
      </c>
      <c r="N7" s="30">
        <f>I7/SUM(G7,-H7,I7:J7)</f>
        <v>0.31428571428571428</v>
      </c>
      <c r="O7" s="31">
        <f>J7/SUM(G7-H7,,I7:J7)</f>
        <v>0.15714285714285714</v>
      </c>
    </row>
    <row r="8" spans="1:15" s="139" customFormat="1" ht="18.75" x14ac:dyDescent="0.3">
      <c r="A8" s="32" t="s">
        <v>18</v>
      </c>
      <c r="B8" s="113" t="s">
        <v>35</v>
      </c>
      <c r="C8" s="21">
        <v>55</v>
      </c>
      <c r="D8" s="22">
        <f t="shared" si="0"/>
        <v>1.9398500000000001</v>
      </c>
      <c r="E8" s="23">
        <f t="shared" si="1"/>
        <v>0.12125220458553791</v>
      </c>
      <c r="F8" s="6">
        <f t="shared" si="2"/>
        <v>258</v>
      </c>
      <c r="G8" s="24">
        <v>30</v>
      </c>
      <c r="H8" s="25">
        <v>0</v>
      </c>
      <c r="I8" s="25">
        <v>10</v>
      </c>
      <c r="J8" s="26">
        <v>12</v>
      </c>
      <c r="K8" s="27">
        <f t="shared" si="3"/>
        <v>4.6909090909090905</v>
      </c>
      <c r="L8" s="28">
        <f t="shared" si="4"/>
        <v>0.94545454545454544</v>
      </c>
      <c r="M8" s="29">
        <f t="shared" si="5"/>
        <v>0.57692307692307687</v>
      </c>
      <c r="N8" s="30">
        <f t="shared" si="6"/>
        <v>0.19230769230769232</v>
      </c>
      <c r="O8" s="31">
        <f t="shared" si="7"/>
        <v>0.23076923076923078</v>
      </c>
    </row>
    <row r="9" spans="1:15" s="139" customFormat="1" ht="18.75" x14ac:dyDescent="0.3">
      <c r="A9" s="32" t="s">
        <v>101</v>
      </c>
      <c r="B9" s="113" t="s">
        <v>102</v>
      </c>
      <c r="C9" s="21">
        <v>85</v>
      </c>
      <c r="D9" s="22">
        <f t="shared" si="0"/>
        <v>2.9979500000000003</v>
      </c>
      <c r="E9" s="23">
        <f t="shared" si="1"/>
        <v>0.18738977072310406</v>
      </c>
      <c r="F9" s="6">
        <f t="shared" si="2"/>
        <v>382</v>
      </c>
      <c r="G9" s="24">
        <v>42</v>
      </c>
      <c r="H9" s="25">
        <v>7</v>
      </c>
      <c r="I9" s="25">
        <v>22</v>
      </c>
      <c r="J9" s="26">
        <v>11</v>
      </c>
      <c r="K9" s="27">
        <f t="shared" si="3"/>
        <v>4.4941176470588236</v>
      </c>
      <c r="L9" s="28">
        <f t="shared" si="4"/>
        <v>0.8</v>
      </c>
      <c r="M9" s="29">
        <f t="shared" si="5"/>
        <v>0.51470588235294112</v>
      </c>
      <c r="N9" s="30">
        <f t="shared" si="6"/>
        <v>0.3235294117647059</v>
      </c>
      <c r="O9" s="31">
        <f t="shared" si="7"/>
        <v>0.16176470588235295</v>
      </c>
    </row>
    <row r="10" spans="1:15" s="139" customFormat="1" ht="18.75" x14ac:dyDescent="0.3">
      <c r="A10" s="89" t="s">
        <v>101</v>
      </c>
      <c r="B10" s="140" t="s">
        <v>219</v>
      </c>
      <c r="C10" s="50">
        <v>86</v>
      </c>
      <c r="D10" s="22">
        <f t="shared" ref="D10" si="17">C10*0.03527</f>
        <v>3.03322</v>
      </c>
      <c r="E10" s="23">
        <f t="shared" ref="E10" si="18">C10/453.6</f>
        <v>0.18959435626102292</v>
      </c>
      <c r="F10" s="61">
        <v>380</v>
      </c>
      <c r="G10" s="57">
        <v>48</v>
      </c>
      <c r="H10" s="58">
        <v>6</v>
      </c>
      <c r="I10" s="58">
        <v>18</v>
      </c>
      <c r="J10" s="59">
        <v>10</v>
      </c>
      <c r="K10" s="27">
        <f t="shared" ref="K10" si="19">F10/C10</f>
        <v>4.4186046511627906</v>
      </c>
      <c r="L10" s="28">
        <f t="shared" ref="L10" si="20">SUM(G10,-H10,I10,J10)/C10</f>
        <v>0.81395348837209303</v>
      </c>
      <c r="M10" s="29">
        <f t="shared" ref="M10" si="21">(G10-H10)/SUM(G10-H10,I10:J10)</f>
        <v>0.6</v>
      </c>
      <c r="N10" s="30">
        <f t="shared" ref="N10" si="22">I10/SUM(G10,-H10,I10:J10)</f>
        <v>0.25714285714285712</v>
      </c>
      <c r="O10" s="31">
        <f t="shared" ref="O10" si="23">J10/SUM(G10-H10,,I10:J10)</f>
        <v>0.14285714285714285</v>
      </c>
    </row>
    <row r="11" spans="1:15" s="139" customFormat="1" ht="18.75" x14ac:dyDescent="0.3">
      <c r="A11" s="32" t="s">
        <v>144</v>
      </c>
      <c r="B11" s="113" t="s">
        <v>146</v>
      </c>
      <c r="C11" s="21">
        <v>92</v>
      </c>
      <c r="D11" s="22">
        <f t="shared" si="0"/>
        <v>3.2448400000000004</v>
      </c>
      <c r="E11" s="23">
        <f t="shared" si="1"/>
        <v>0.20282186948853614</v>
      </c>
      <c r="F11" s="6">
        <f t="shared" si="2"/>
        <v>405</v>
      </c>
      <c r="G11" s="24">
        <v>50</v>
      </c>
      <c r="H11" s="25">
        <v>6</v>
      </c>
      <c r="I11" s="25">
        <v>21</v>
      </c>
      <c r="J11" s="26">
        <v>10</v>
      </c>
      <c r="K11" s="27">
        <f t="shared" si="3"/>
        <v>4.4021739130434785</v>
      </c>
      <c r="L11" s="28">
        <f t="shared" si="4"/>
        <v>0.81521739130434778</v>
      </c>
      <c r="M11" s="29">
        <f t="shared" si="5"/>
        <v>0.58666666666666667</v>
      </c>
      <c r="N11" s="30">
        <f t="shared" si="6"/>
        <v>0.28000000000000003</v>
      </c>
      <c r="O11" s="31">
        <f t="shared" si="7"/>
        <v>0.13333333333333333</v>
      </c>
    </row>
    <row r="12" spans="1:15" s="139" customFormat="1" ht="18.75" x14ac:dyDescent="0.3">
      <c r="A12" s="32" t="s">
        <v>98</v>
      </c>
      <c r="B12" s="113" t="s">
        <v>99</v>
      </c>
      <c r="C12" s="21">
        <v>68</v>
      </c>
      <c r="D12" s="22">
        <f>C12*0.03527</f>
        <v>2.3983600000000003</v>
      </c>
      <c r="E12" s="23">
        <f>C12/453.6</f>
        <v>0.14991181657848324</v>
      </c>
      <c r="F12" s="6">
        <f>(4*SUM(G12-H12,J12))+(9*I12)</f>
        <v>290</v>
      </c>
      <c r="G12" s="24">
        <v>38</v>
      </c>
      <c r="H12" s="25">
        <v>7</v>
      </c>
      <c r="I12" s="25">
        <v>14</v>
      </c>
      <c r="J12" s="26">
        <v>10</v>
      </c>
      <c r="K12" s="27">
        <f>F12/C12</f>
        <v>4.2647058823529411</v>
      </c>
      <c r="L12" s="28">
        <f>SUM(G12,-H12,I12,J12)/C12</f>
        <v>0.80882352941176472</v>
      </c>
      <c r="M12" s="29">
        <f>(G12-H12)/SUM(G12-H12,I12:J12)</f>
        <v>0.5636363636363636</v>
      </c>
      <c r="N12" s="30">
        <f>I12/SUM(G12,-H12,I12:J12)</f>
        <v>0.25454545454545452</v>
      </c>
      <c r="O12" s="31">
        <f>J12/SUM(G12-H12,,I12:J12)</f>
        <v>0.18181818181818182</v>
      </c>
    </row>
    <row r="13" spans="1:15" s="139" customFormat="1" ht="18.75" x14ac:dyDescent="0.3">
      <c r="A13" s="32" t="s">
        <v>144</v>
      </c>
      <c r="B13" s="113" t="s">
        <v>145</v>
      </c>
      <c r="C13" s="21">
        <v>92</v>
      </c>
      <c r="D13" s="22">
        <f t="shared" ref="D13" si="24">C13*0.03527</f>
        <v>3.2448400000000004</v>
      </c>
      <c r="E13" s="23">
        <f t="shared" ref="E13" si="25">C13/453.6</f>
        <v>0.20282186948853614</v>
      </c>
      <c r="F13" s="6">
        <f t="shared" ref="F13" si="26">(4*SUM(G13-H13,J13))+(9*I13)</f>
        <v>392</v>
      </c>
      <c r="G13" s="24">
        <v>50</v>
      </c>
      <c r="H13" s="25">
        <v>6</v>
      </c>
      <c r="I13" s="25">
        <v>20</v>
      </c>
      <c r="J13" s="26">
        <v>9</v>
      </c>
      <c r="K13" s="27">
        <f t="shared" ref="K13" si="27">F13/C13</f>
        <v>4.2608695652173916</v>
      </c>
      <c r="L13" s="28">
        <f t="shared" ref="L13" si="28">SUM(G13,-H13,I13,J13)/C13</f>
        <v>0.79347826086956519</v>
      </c>
      <c r="M13" s="29">
        <f t="shared" ref="M13" si="29">(G13-H13)/SUM(G13-H13,I13:J13)</f>
        <v>0.60273972602739723</v>
      </c>
      <c r="N13" s="30">
        <f t="shared" ref="N13" si="30">I13/SUM(G13,-H13,I13:J13)</f>
        <v>0.27397260273972601</v>
      </c>
      <c r="O13" s="31">
        <f t="shared" ref="O13" si="31">J13/SUM(G13-H13,,I13:J13)</f>
        <v>0.12328767123287671</v>
      </c>
    </row>
    <row r="14" spans="1:15" s="139" customFormat="1" ht="18.75" x14ac:dyDescent="0.3">
      <c r="A14" s="32" t="s">
        <v>220</v>
      </c>
      <c r="B14" s="113" t="s">
        <v>221</v>
      </c>
      <c r="C14" s="21">
        <v>50</v>
      </c>
      <c r="D14" s="22">
        <f>C14*0.03527</f>
        <v>1.7635000000000001</v>
      </c>
      <c r="E14" s="23">
        <f>C14/453.6</f>
        <v>0.11022927689594356</v>
      </c>
      <c r="F14" s="6">
        <v>210</v>
      </c>
      <c r="G14" s="24">
        <v>21</v>
      </c>
      <c r="H14" s="25">
        <v>10</v>
      </c>
      <c r="I14" s="25">
        <v>11</v>
      </c>
      <c r="J14" s="26">
        <v>11</v>
      </c>
      <c r="K14" s="27">
        <f>F14/C14</f>
        <v>4.2</v>
      </c>
      <c r="L14" s="28">
        <f>SUM(G14,-H14,I14,J14)/C14</f>
        <v>0.66</v>
      </c>
      <c r="M14" s="29">
        <f>(G14-H14)/SUM(G14-H14,I14:J14)</f>
        <v>0.33333333333333331</v>
      </c>
      <c r="N14" s="30">
        <f>I14/SUM(G14,-H14,I14:J14)</f>
        <v>0.33333333333333331</v>
      </c>
      <c r="O14" s="31">
        <f>J14/SUM(G14-H14,,I14:J14)</f>
        <v>0.33333333333333331</v>
      </c>
    </row>
    <row r="15" spans="1:15" s="139" customFormat="1" ht="18.75" x14ac:dyDescent="0.3">
      <c r="A15" s="32" t="s">
        <v>18</v>
      </c>
      <c r="B15" s="113" t="s">
        <v>107</v>
      </c>
      <c r="C15" s="21">
        <v>55</v>
      </c>
      <c r="D15" s="22">
        <f t="shared" si="0"/>
        <v>1.9398500000000001</v>
      </c>
      <c r="E15" s="23">
        <f t="shared" si="1"/>
        <v>0.12125220458553791</v>
      </c>
      <c r="F15" s="6">
        <f t="shared" si="2"/>
        <v>233</v>
      </c>
      <c r="G15" s="24">
        <v>31</v>
      </c>
      <c r="H15" s="25">
        <v>3</v>
      </c>
      <c r="I15" s="25">
        <v>9</v>
      </c>
      <c r="J15" s="26">
        <v>10</v>
      </c>
      <c r="K15" s="27">
        <f t="shared" si="3"/>
        <v>4.2363636363636363</v>
      </c>
      <c r="L15" s="28">
        <f t="shared" si="4"/>
        <v>0.8545454545454545</v>
      </c>
      <c r="M15" s="29">
        <f t="shared" si="5"/>
        <v>0.5957446808510638</v>
      </c>
      <c r="N15" s="30">
        <f t="shared" si="6"/>
        <v>0.19148936170212766</v>
      </c>
      <c r="O15" s="31">
        <f t="shared" si="7"/>
        <v>0.21276595744680851</v>
      </c>
    </row>
    <row r="16" spans="1:15" s="139" customFormat="1" ht="18.75" x14ac:dyDescent="0.3">
      <c r="A16" s="32" t="s">
        <v>31</v>
      </c>
      <c r="B16" s="113" t="s">
        <v>97</v>
      </c>
      <c r="C16" s="21">
        <v>45</v>
      </c>
      <c r="D16" s="22">
        <f t="shared" si="0"/>
        <v>1.5871500000000001</v>
      </c>
      <c r="E16" s="23">
        <f t="shared" si="1"/>
        <v>9.9206349206349201E-2</v>
      </c>
      <c r="F16" s="6">
        <f t="shared" si="2"/>
        <v>189</v>
      </c>
      <c r="G16" s="24">
        <v>21</v>
      </c>
      <c r="H16" s="25">
        <v>2</v>
      </c>
      <c r="I16" s="25">
        <v>9</v>
      </c>
      <c r="J16" s="26">
        <v>8</v>
      </c>
      <c r="K16" s="27">
        <f t="shared" si="3"/>
        <v>4.2</v>
      </c>
      <c r="L16" s="28">
        <f t="shared" si="4"/>
        <v>0.8</v>
      </c>
      <c r="M16" s="29">
        <f t="shared" si="5"/>
        <v>0.52777777777777779</v>
      </c>
      <c r="N16" s="30">
        <f t="shared" si="6"/>
        <v>0.25</v>
      </c>
      <c r="O16" s="31">
        <f t="shared" si="7"/>
        <v>0.22222222222222221</v>
      </c>
    </row>
    <row r="17" spans="1:15" s="139" customFormat="1" ht="18.75" x14ac:dyDescent="0.3">
      <c r="A17" s="32" t="s">
        <v>103</v>
      </c>
      <c r="B17" s="113" t="s">
        <v>104</v>
      </c>
      <c r="C17" s="21">
        <v>50</v>
      </c>
      <c r="D17" s="22">
        <f t="shared" si="0"/>
        <v>1.7635000000000001</v>
      </c>
      <c r="E17" s="23">
        <f t="shared" si="1"/>
        <v>0.11022927689594356</v>
      </c>
      <c r="F17" s="6">
        <f t="shared" si="2"/>
        <v>207</v>
      </c>
      <c r="G17" s="24">
        <v>27</v>
      </c>
      <c r="H17" s="25">
        <v>5</v>
      </c>
      <c r="I17" s="25">
        <v>11</v>
      </c>
      <c r="J17" s="26">
        <v>5</v>
      </c>
      <c r="K17" s="27">
        <f t="shared" si="3"/>
        <v>4.1399999999999997</v>
      </c>
      <c r="L17" s="28">
        <f t="shared" si="4"/>
        <v>0.76</v>
      </c>
      <c r="M17" s="29">
        <f t="shared" si="5"/>
        <v>0.57894736842105265</v>
      </c>
      <c r="N17" s="30">
        <f t="shared" si="6"/>
        <v>0.28947368421052633</v>
      </c>
      <c r="O17" s="31">
        <f t="shared" si="7"/>
        <v>0.13157894736842105</v>
      </c>
    </row>
    <row r="18" spans="1:15" s="139" customFormat="1" ht="18.75" x14ac:dyDescent="0.3">
      <c r="A18" s="32" t="s">
        <v>20</v>
      </c>
      <c r="B18" s="113" t="s">
        <v>38</v>
      </c>
      <c r="C18" s="21">
        <v>100</v>
      </c>
      <c r="D18" s="22">
        <f t="shared" si="0"/>
        <v>3.5270000000000001</v>
      </c>
      <c r="E18" s="23">
        <f t="shared" si="1"/>
        <v>0.22045855379188711</v>
      </c>
      <c r="F18" s="6">
        <f t="shared" si="2"/>
        <v>406</v>
      </c>
      <c r="G18" s="24">
        <v>41</v>
      </c>
      <c r="H18" s="25">
        <v>3</v>
      </c>
      <c r="I18" s="25">
        <v>14</v>
      </c>
      <c r="J18" s="26">
        <v>32</v>
      </c>
      <c r="K18" s="27">
        <f t="shared" si="3"/>
        <v>4.0599999999999996</v>
      </c>
      <c r="L18" s="28">
        <f t="shared" si="4"/>
        <v>0.84</v>
      </c>
      <c r="M18" s="29">
        <f t="shared" si="5"/>
        <v>0.45238095238095238</v>
      </c>
      <c r="N18" s="30">
        <f t="shared" si="6"/>
        <v>0.16666666666666666</v>
      </c>
      <c r="O18" s="31">
        <f t="shared" si="7"/>
        <v>0.38095238095238093</v>
      </c>
    </row>
    <row r="19" spans="1:15" s="139" customFormat="1" ht="18.75" x14ac:dyDescent="0.3">
      <c r="A19" s="32" t="s">
        <v>20</v>
      </c>
      <c r="B19" s="113" t="s">
        <v>27</v>
      </c>
      <c r="C19" s="21">
        <v>85</v>
      </c>
      <c r="D19" s="22">
        <f t="shared" si="0"/>
        <v>2.9979500000000003</v>
      </c>
      <c r="E19" s="23">
        <f t="shared" si="1"/>
        <v>0.18738977072310406</v>
      </c>
      <c r="F19" s="6">
        <f t="shared" si="2"/>
        <v>342</v>
      </c>
      <c r="G19" s="24">
        <v>33</v>
      </c>
      <c r="H19" s="25">
        <v>2</v>
      </c>
      <c r="I19" s="25">
        <v>10</v>
      </c>
      <c r="J19" s="26">
        <v>32</v>
      </c>
      <c r="K19" s="27">
        <f t="shared" si="3"/>
        <v>4.0235294117647058</v>
      </c>
      <c r="L19" s="28">
        <f t="shared" si="4"/>
        <v>0.85882352941176465</v>
      </c>
      <c r="M19" s="29">
        <f t="shared" si="5"/>
        <v>0.42465753424657532</v>
      </c>
      <c r="N19" s="30">
        <f t="shared" si="6"/>
        <v>0.13698630136986301</v>
      </c>
      <c r="O19" s="31">
        <f t="shared" si="7"/>
        <v>0.43835616438356162</v>
      </c>
    </row>
    <row r="20" spans="1:15" s="139" customFormat="1" ht="18.75" x14ac:dyDescent="0.3">
      <c r="A20" s="32" t="s">
        <v>24</v>
      </c>
      <c r="B20" s="113" t="s">
        <v>34</v>
      </c>
      <c r="C20" s="21">
        <v>48</v>
      </c>
      <c r="D20" s="22">
        <f t="shared" si="0"/>
        <v>1.6929600000000002</v>
      </c>
      <c r="E20" s="23">
        <f t="shared" si="1"/>
        <v>0.10582010582010581</v>
      </c>
      <c r="F20" s="6">
        <f t="shared" si="2"/>
        <v>187</v>
      </c>
      <c r="G20" s="24">
        <v>25</v>
      </c>
      <c r="H20" s="25">
        <v>3</v>
      </c>
      <c r="I20" s="25">
        <v>7</v>
      </c>
      <c r="J20" s="26">
        <v>9</v>
      </c>
      <c r="K20" s="27">
        <f t="shared" si="3"/>
        <v>3.8958333333333335</v>
      </c>
      <c r="L20" s="28">
        <f t="shared" si="4"/>
        <v>0.79166666666666663</v>
      </c>
      <c r="M20" s="29">
        <f t="shared" si="5"/>
        <v>0.57894736842105265</v>
      </c>
      <c r="N20" s="30">
        <f t="shared" si="6"/>
        <v>0.18421052631578946</v>
      </c>
      <c r="O20" s="31">
        <f t="shared" si="7"/>
        <v>0.23684210526315788</v>
      </c>
    </row>
    <row r="21" spans="1:15" s="139" customFormat="1" ht="18.75" x14ac:dyDescent="0.3">
      <c r="A21" s="32" t="s">
        <v>31</v>
      </c>
      <c r="B21" s="113" t="s">
        <v>32</v>
      </c>
      <c r="C21" s="21">
        <v>68</v>
      </c>
      <c r="D21" s="22">
        <f t="shared" si="0"/>
        <v>2.3983600000000003</v>
      </c>
      <c r="E21" s="23">
        <f t="shared" si="1"/>
        <v>0.14991181657848324</v>
      </c>
      <c r="F21" s="6">
        <f t="shared" si="2"/>
        <v>260</v>
      </c>
      <c r="G21" s="24">
        <v>31</v>
      </c>
      <c r="H21" s="25">
        <v>4</v>
      </c>
      <c r="I21" s="25">
        <v>8</v>
      </c>
      <c r="J21" s="26">
        <v>20</v>
      </c>
      <c r="K21" s="27">
        <f t="shared" si="3"/>
        <v>3.8235294117647061</v>
      </c>
      <c r="L21" s="28">
        <f t="shared" si="4"/>
        <v>0.80882352941176472</v>
      </c>
      <c r="M21" s="29">
        <f t="shared" si="5"/>
        <v>0.49090909090909091</v>
      </c>
      <c r="N21" s="30">
        <f t="shared" si="6"/>
        <v>0.14545454545454545</v>
      </c>
      <c r="O21" s="31">
        <f t="shared" si="7"/>
        <v>0.36363636363636365</v>
      </c>
    </row>
    <row r="22" spans="1:15" s="139" customFormat="1" ht="18.75" x14ac:dyDescent="0.3">
      <c r="A22" s="32" t="s">
        <v>18</v>
      </c>
      <c r="B22" s="113" t="s">
        <v>33</v>
      </c>
      <c r="C22" s="21">
        <v>78</v>
      </c>
      <c r="D22" s="22">
        <f t="shared" si="0"/>
        <v>2.7510600000000003</v>
      </c>
      <c r="E22" s="23">
        <f t="shared" si="1"/>
        <v>0.17195767195767195</v>
      </c>
      <c r="F22" s="6">
        <f t="shared" si="2"/>
        <v>298</v>
      </c>
      <c r="G22" s="24">
        <v>39</v>
      </c>
      <c r="H22" s="25">
        <v>1</v>
      </c>
      <c r="I22" s="25">
        <v>6</v>
      </c>
      <c r="J22" s="26">
        <v>23</v>
      </c>
      <c r="K22" s="27">
        <f t="shared" si="3"/>
        <v>3.8205128205128207</v>
      </c>
      <c r="L22" s="28">
        <f t="shared" si="4"/>
        <v>0.85897435897435892</v>
      </c>
      <c r="M22" s="29">
        <f t="shared" si="5"/>
        <v>0.56716417910447758</v>
      </c>
      <c r="N22" s="30">
        <f t="shared" si="6"/>
        <v>8.9552238805970144E-2</v>
      </c>
      <c r="O22" s="31">
        <f t="shared" si="7"/>
        <v>0.34328358208955223</v>
      </c>
    </row>
    <row r="23" spans="1:15" s="139" customFormat="1" ht="18.75" hidden="1" x14ac:dyDescent="0.3">
      <c r="A23" s="32" t="s">
        <v>24</v>
      </c>
      <c r="B23" s="113" t="s">
        <v>37</v>
      </c>
      <c r="C23" s="21">
        <v>48</v>
      </c>
      <c r="D23" s="22">
        <f t="shared" si="0"/>
        <v>1.6929600000000002</v>
      </c>
      <c r="E23" s="23">
        <f t="shared" si="1"/>
        <v>0.10582010582010581</v>
      </c>
      <c r="F23" s="6">
        <f t="shared" si="2"/>
        <v>182</v>
      </c>
      <c r="G23" s="24">
        <v>27</v>
      </c>
      <c r="H23" s="25">
        <v>3</v>
      </c>
      <c r="I23" s="25">
        <v>6</v>
      </c>
      <c r="J23" s="26">
        <v>8</v>
      </c>
      <c r="K23" s="27">
        <f t="shared" si="3"/>
        <v>3.7916666666666665</v>
      </c>
      <c r="L23" s="28">
        <f t="shared" si="4"/>
        <v>0.79166666666666663</v>
      </c>
      <c r="M23" s="29">
        <f t="shared" si="5"/>
        <v>0.63157894736842102</v>
      </c>
      <c r="N23" s="30">
        <f t="shared" si="6"/>
        <v>0.15789473684210525</v>
      </c>
      <c r="O23" s="31">
        <f t="shared" si="7"/>
        <v>0.21052631578947367</v>
      </c>
    </row>
    <row r="24" spans="1:15" s="139" customFormat="1" ht="18.75" x14ac:dyDescent="0.3">
      <c r="A24" s="32" t="s">
        <v>24</v>
      </c>
      <c r="B24" s="113" t="s">
        <v>25</v>
      </c>
      <c r="C24" s="21">
        <v>48</v>
      </c>
      <c r="D24" s="22">
        <f t="shared" si="0"/>
        <v>1.6929600000000002</v>
      </c>
      <c r="E24" s="23">
        <f t="shared" si="1"/>
        <v>0.10582010582010581</v>
      </c>
      <c r="F24" s="6">
        <f t="shared" si="2"/>
        <v>182</v>
      </c>
      <c r="G24" s="24">
        <v>25</v>
      </c>
      <c r="H24" s="25">
        <v>3</v>
      </c>
      <c r="I24" s="25">
        <v>6</v>
      </c>
      <c r="J24" s="26">
        <v>10</v>
      </c>
      <c r="K24" s="27">
        <f t="shared" si="3"/>
        <v>3.7916666666666665</v>
      </c>
      <c r="L24" s="28">
        <f t="shared" si="4"/>
        <v>0.79166666666666663</v>
      </c>
      <c r="M24" s="29">
        <f t="shared" si="5"/>
        <v>0.57894736842105265</v>
      </c>
      <c r="N24" s="30">
        <f t="shared" si="6"/>
        <v>0.15789473684210525</v>
      </c>
      <c r="O24" s="31">
        <f t="shared" si="7"/>
        <v>0.26315789473684209</v>
      </c>
    </row>
    <row r="25" spans="1:15" s="139" customFormat="1" ht="18.75" hidden="1" x14ac:dyDescent="0.3">
      <c r="A25" s="32" t="s">
        <v>20</v>
      </c>
      <c r="B25" s="113" t="s">
        <v>21</v>
      </c>
      <c r="C25" s="21">
        <v>85</v>
      </c>
      <c r="D25" s="22">
        <f t="shared" si="0"/>
        <v>2.9979500000000003</v>
      </c>
      <c r="E25" s="23">
        <f t="shared" si="1"/>
        <v>0.18738977072310406</v>
      </c>
      <c r="F25" s="6">
        <f t="shared" si="2"/>
        <v>342</v>
      </c>
      <c r="G25" s="24">
        <v>33</v>
      </c>
      <c r="H25" s="25">
        <v>2</v>
      </c>
      <c r="I25" s="25">
        <v>10</v>
      </c>
      <c r="J25" s="26">
        <v>32</v>
      </c>
      <c r="K25" s="27">
        <f t="shared" si="3"/>
        <v>4.0235294117647058</v>
      </c>
      <c r="L25" s="28">
        <f t="shared" si="4"/>
        <v>0.85882352941176465</v>
      </c>
      <c r="M25" s="29">
        <f t="shared" si="5"/>
        <v>0.42465753424657532</v>
      </c>
      <c r="N25" s="30">
        <f t="shared" si="6"/>
        <v>0.13698630136986301</v>
      </c>
      <c r="O25" s="31">
        <f t="shared" si="7"/>
        <v>0.43835616438356162</v>
      </c>
    </row>
    <row r="26" spans="1:15" s="139" customFormat="1" ht="18.75" x14ac:dyDescent="0.3">
      <c r="A26" s="32" t="s">
        <v>18</v>
      </c>
      <c r="B26" s="113" t="s">
        <v>26</v>
      </c>
      <c r="C26" s="21">
        <v>78</v>
      </c>
      <c r="D26" s="22">
        <f t="shared" si="0"/>
        <v>2.7510600000000003</v>
      </c>
      <c r="E26" s="23">
        <f t="shared" si="1"/>
        <v>0.17195767195767195</v>
      </c>
      <c r="F26" s="6">
        <f t="shared" si="2"/>
        <v>294</v>
      </c>
      <c r="G26" s="24">
        <v>38</v>
      </c>
      <c r="H26" s="25">
        <v>1</v>
      </c>
      <c r="I26" s="25">
        <v>6</v>
      </c>
      <c r="J26" s="26">
        <v>23</v>
      </c>
      <c r="K26" s="27">
        <f t="shared" si="3"/>
        <v>3.7692307692307692</v>
      </c>
      <c r="L26" s="28">
        <f t="shared" si="4"/>
        <v>0.84615384615384615</v>
      </c>
      <c r="M26" s="29">
        <f t="shared" si="5"/>
        <v>0.56060606060606055</v>
      </c>
      <c r="N26" s="30">
        <f t="shared" si="6"/>
        <v>9.0909090909090912E-2</v>
      </c>
      <c r="O26" s="31">
        <f t="shared" si="7"/>
        <v>0.34848484848484851</v>
      </c>
    </row>
    <row r="27" spans="1:15" s="139" customFormat="1" ht="18.75" x14ac:dyDescent="0.3">
      <c r="A27" s="32" t="s">
        <v>24</v>
      </c>
      <c r="B27" s="113" t="s">
        <v>29</v>
      </c>
      <c r="C27" s="21">
        <v>48</v>
      </c>
      <c r="D27" s="22">
        <f t="shared" si="0"/>
        <v>1.6929600000000002</v>
      </c>
      <c r="E27" s="23">
        <f t="shared" si="1"/>
        <v>0.10582010582010581</v>
      </c>
      <c r="F27" s="6">
        <f t="shared" si="2"/>
        <v>177</v>
      </c>
      <c r="G27" s="24">
        <v>27</v>
      </c>
      <c r="H27" s="25">
        <v>3</v>
      </c>
      <c r="I27" s="25">
        <v>5</v>
      </c>
      <c r="J27" s="26">
        <v>9</v>
      </c>
      <c r="K27" s="27">
        <f t="shared" si="3"/>
        <v>3.6875</v>
      </c>
      <c r="L27" s="28">
        <f t="shared" si="4"/>
        <v>0.79166666666666663</v>
      </c>
      <c r="M27" s="29">
        <f t="shared" si="5"/>
        <v>0.63157894736842102</v>
      </c>
      <c r="N27" s="30">
        <f t="shared" si="6"/>
        <v>0.13157894736842105</v>
      </c>
      <c r="O27" s="31">
        <f t="shared" si="7"/>
        <v>0.23684210526315788</v>
      </c>
    </row>
    <row r="28" spans="1:15" s="139" customFormat="1" ht="18.75" hidden="1" x14ac:dyDescent="0.3">
      <c r="A28" s="32" t="s">
        <v>22</v>
      </c>
      <c r="B28" s="113" t="s">
        <v>23</v>
      </c>
      <c r="C28" s="21">
        <v>68</v>
      </c>
      <c r="D28" s="22">
        <f t="shared" si="0"/>
        <v>2.3983600000000003</v>
      </c>
      <c r="E28" s="23">
        <f t="shared" si="1"/>
        <v>0.14991181657848324</v>
      </c>
      <c r="F28" s="6">
        <f t="shared" si="2"/>
        <v>237</v>
      </c>
      <c r="G28" s="24">
        <v>43</v>
      </c>
      <c r="H28" s="25">
        <v>5</v>
      </c>
      <c r="I28" s="25">
        <v>5</v>
      </c>
      <c r="J28" s="26">
        <v>10</v>
      </c>
      <c r="K28" s="27">
        <f t="shared" si="3"/>
        <v>3.4852941176470589</v>
      </c>
      <c r="L28" s="28">
        <f t="shared" si="4"/>
        <v>0.77941176470588236</v>
      </c>
      <c r="M28" s="29">
        <f t="shared" si="5"/>
        <v>0.71698113207547165</v>
      </c>
      <c r="N28" s="30">
        <f t="shared" si="6"/>
        <v>9.4339622641509441E-2</v>
      </c>
      <c r="O28" s="31">
        <f t="shared" si="7"/>
        <v>0.18867924528301888</v>
      </c>
    </row>
    <row r="29" spans="1:15" s="139" customFormat="1" ht="18.75" x14ac:dyDescent="0.3">
      <c r="A29" s="32" t="s">
        <v>18</v>
      </c>
      <c r="B29" s="113" t="s">
        <v>19</v>
      </c>
      <c r="C29" s="21">
        <v>78</v>
      </c>
      <c r="D29" s="22">
        <f t="shared" si="0"/>
        <v>2.7510600000000003</v>
      </c>
      <c r="E29" s="23">
        <f t="shared" si="1"/>
        <v>0.17195767195767195</v>
      </c>
      <c r="F29" s="6">
        <f t="shared" si="2"/>
        <v>286</v>
      </c>
      <c r="G29" s="24">
        <v>37</v>
      </c>
      <c r="H29" s="25">
        <v>2</v>
      </c>
      <c r="I29" s="25">
        <v>6</v>
      </c>
      <c r="J29" s="26">
        <v>23</v>
      </c>
      <c r="K29" s="27">
        <f t="shared" si="3"/>
        <v>3.6666666666666665</v>
      </c>
      <c r="L29" s="28">
        <f t="shared" si="4"/>
        <v>0.82051282051282048</v>
      </c>
      <c r="M29" s="29">
        <f t="shared" si="5"/>
        <v>0.546875</v>
      </c>
      <c r="N29" s="30">
        <f t="shared" si="6"/>
        <v>9.375E-2</v>
      </c>
      <c r="O29" s="31">
        <f t="shared" si="7"/>
        <v>0.359375</v>
      </c>
    </row>
    <row r="30" spans="1:15" s="139" customFormat="1" ht="18.75" x14ac:dyDescent="0.3">
      <c r="A30" s="32" t="s">
        <v>24</v>
      </c>
      <c r="B30" s="113" t="s">
        <v>36</v>
      </c>
      <c r="C30" s="21">
        <v>48</v>
      </c>
      <c r="D30" s="22">
        <f t="shared" si="0"/>
        <v>1.6929600000000002</v>
      </c>
      <c r="E30" s="23">
        <f t="shared" si="1"/>
        <v>0.10582010582010581</v>
      </c>
      <c r="F30" s="6">
        <f t="shared" si="2"/>
        <v>173</v>
      </c>
      <c r="G30" s="24">
        <v>28</v>
      </c>
      <c r="H30" s="25">
        <v>4</v>
      </c>
      <c r="I30" s="25">
        <v>5</v>
      </c>
      <c r="J30" s="26">
        <v>8</v>
      </c>
      <c r="K30" s="27">
        <f t="shared" si="3"/>
        <v>3.6041666666666665</v>
      </c>
      <c r="L30" s="28">
        <f t="shared" si="4"/>
        <v>0.77083333333333337</v>
      </c>
      <c r="M30" s="29">
        <f t="shared" si="5"/>
        <v>0.64864864864864868</v>
      </c>
      <c r="N30" s="30">
        <f t="shared" si="6"/>
        <v>0.13513513513513514</v>
      </c>
      <c r="O30" s="31">
        <f t="shared" si="7"/>
        <v>0.21621621621621623</v>
      </c>
    </row>
    <row r="31" spans="1:15" s="139" customFormat="1" ht="18.75" x14ac:dyDescent="0.3">
      <c r="A31" s="32" t="s">
        <v>18</v>
      </c>
      <c r="B31" s="113" t="s">
        <v>39</v>
      </c>
      <c r="C31" s="21">
        <v>65</v>
      </c>
      <c r="D31" s="22">
        <f t="shared" si="0"/>
        <v>2.2925500000000003</v>
      </c>
      <c r="E31" s="23">
        <f t="shared" si="1"/>
        <v>0.14329805996472664</v>
      </c>
      <c r="F31" s="6">
        <f t="shared" si="2"/>
        <v>233</v>
      </c>
      <c r="G31" s="24">
        <v>42</v>
      </c>
      <c r="H31" s="25">
        <v>5</v>
      </c>
      <c r="I31" s="25">
        <v>5</v>
      </c>
      <c r="J31" s="26">
        <v>10</v>
      </c>
      <c r="K31" s="27">
        <f t="shared" si="3"/>
        <v>3.5846153846153848</v>
      </c>
      <c r="L31" s="28">
        <f t="shared" si="4"/>
        <v>0.8</v>
      </c>
      <c r="M31" s="29">
        <f t="shared" si="5"/>
        <v>0.71153846153846156</v>
      </c>
      <c r="N31" s="30">
        <f t="shared" si="6"/>
        <v>9.6153846153846159E-2</v>
      </c>
      <c r="O31" s="31">
        <f t="shared" si="7"/>
        <v>0.19230769230769232</v>
      </c>
    </row>
    <row r="32" spans="1:15" s="139" customFormat="1" ht="18.75" x14ac:dyDescent="0.3">
      <c r="A32" s="32" t="s">
        <v>20</v>
      </c>
      <c r="B32" s="113" t="s">
        <v>28</v>
      </c>
      <c r="C32" s="21">
        <v>100</v>
      </c>
      <c r="D32" s="22">
        <f t="shared" si="0"/>
        <v>3.5270000000000001</v>
      </c>
      <c r="E32" s="23">
        <f t="shared" si="1"/>
        <v>0.22045855379188711</v>
      </c>
      <c r="F32" s="6">
        <f t="shared" si="2"/>
        <v>358</v>
      </c>
      <c r="G32" s="24">
        <v>50</v>
      </c>
      <c r="H32" s="25">
        <v>2</v>
      </c>
      <c r="I32" s="25">
        <v>6</v>
      </c>
      <c r="J32" s="26">
        <v>28</v>
      </c>
      <c r="K32" s="27">
        <f t="shared" si="3"/>
        <v>3.58</v>
      </c>
      <c r="L32" s="28">
        <f t="shared" si="4"/>
        <v>0.82</v>
      </c>
      <c r="M32" s="29">
        <f t="shared" si="5"/>
        <v>0.58536585365853655</v>
      </c>
      <c r="N32" s="30">
        <f t="shared" si="6"/>
        <v>7.3170731707317069E-2</v>
      </c>
      <c r="O32" s="31">
        <f t="shared" si="7"/>
        <v>0.34146341463414637</v>
      </c>
    </row>
    <row r="33" spans="1:15" s="139" customFormat="1" ht="18.75" x14ac:dyDescent="0.3">
      <c r="A33" s="32" t="s">
        <v>22</v>
      </c>
      <c r="B33" s="113" t="s">
        <v>30</v>
      </c>
      <c r="C33" s="21">
        <v>68</v>
      </c>
      <c r="D33" s="22">
        <f t="shared" si="0"/>
        <v>2.3983600000000003</v>
      </c>
      <c r="E33" s="23">
        <f t="shared" si="1"/>
        <v>0.14991181657848324</v>
      </c>
      <c r="F33" s="6">
        <f t="shared" si="2"/>
        <v>237</v>
      </c>
      <c r="G33" s="24">
        <v>43</v>
      </c>
      <c r="H33" s="25">
        <v>5</v>
      </c>
      <c r="I33" s="25">
        <v>5</v>
      </c>
      <c r="J33" s="26">
        <v>10</v>
      </c>
      <c r="K33" s="27">
        <f t="shared" si="3"/>
        <v>3.4852941176470589</v>
      </c>
      <c r="L33" s="28">
        <f t="shared" si="4"/>
        <v>0.77941176470588236</v>
      </c>
      <c r="M33" s="29">
        <f t="shared" si="5"/>
        <v>0.71698113207547165</v>
      </c>
      <c r="N33" s="30">
        <f t="shared" si="6"/>
        <v>9.4339622641509441E-2</v>
      </c>
      <c r="O33" s="31">
        <f t="shared" si="7"/>
        <v>0.18867924528301888</v>
      </c>
    </row>
    <row r="34" spans="1:15" s="139" customFormat="1" ht="19.5" thickBot="1" x14ac:dyDescent="0.35">
      <c r="A34" s="121" t="s">
        <v>18</v>
      </c>
      <c r="B34" s="122" t="s">
        <v>40</v>
      </c>
      <c r="C34" s="38">
        <v>85</v>
      </c>
      <c r="D34" s="39">
        <f t="shared" si="0"/>
        <v>2.9979500000000003</v>
      </c>
      <c r="E34" s="40">
        <f t="shared" si="1"/>
        <v>0.18738977072310406</v>
      </c>
      <c r="F34" s="7">
        <f t="shared" si="2"/>
        <v>239.5</v>
      </c>
      <c r="G34" s="41">
        <v>45</v>
      </c>
      <c r="H34" s="42">
        <v>1</v>
      </c>
      <c r="I34" s="42">
        <v>3.5</v>
      </c>
      <c r="J34" s="43">
        <v>8</v>
      </c>
      <c r="K34" s="44">
        <f t="shared" si="3"/>
        <v>2.8176470588235296</v>
      </c>
      <c r="L34" s="45">
        <f t="shared" si="4"/>
        <v>0.65294117647058825</v>
      </c>
      <c r="M34" s="46">
        <f t="shared" si="5"/>
        <v>0.7927927927927928</v>
      </c>
      <c r="N34" s="47">
        <f t="shared" si="6"/>
        <v>6.3063063063063057E-2</v>
      </c>
      <c r="O34" s="48">
        <f t="shared" si="7"/>
        <v>0.14414414414414414</v>
      </c>
    </row>
  </sheetData>
  <sortState xmlns:xlrd2="http://schemas.microsoft.com/office/spreadsheetml/2017/richdata2" ref="A4:XFD31">
    <sortCondition descending="1" ref="K4:K31"/>
  </sortState>
  <mergeCells count="11">
    <mergeCell ref="C2:C3"/>
    <mergeCell ref="B2:B3"/>
    <mergeCell ref="A2:A3"/>
    <mergeCell ref="L2:L3"/>
    <mergeCell ref="M2:O2"/>
    <mergeCell ref="K2:K3"/>
    <mergeCell ref="F2:F3"/>
    <mergeCell ref="G2:G3"/>
    <mergeCell ref="H2:H3"/>
    <mergeCell ref="I2:I3"/>
    <mergeCell ref="J2:J3"/>
  </mergeCells>
  <phoneticPr fontId="4" type="noConversion"/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Alpha Listings with Detail</vt:lpstr>
      <vt:lpstr>Calorie Density Rankings</vt:lpstr>
      <vt:lpstr>Dehydrated Meals</vt:lpstr>
      <vt:lpstr>PowerBars</vt:lpstr>
      <vt:lpstr>'Calorie Density Rankings'!Print_Area</vt:lpstr>
      <vt:lpstr>'Dehydrated Meals'!Print_Area</vt:lpstr>
      <vt:lpstr>PowerBars!Print_Area</vt:lpstr>
      <vt:lpstr>'Calorie Density Rankings'!Print_Titles</vt:lpstr>
    </vt:vector>
  </TitlesOfParts>
  <Company>Weyerhaeuser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TalbertC</dc:creator>
  <cp:lastModifiedBy>Cheryl Talbert</cp:lastModifiedBy>
  <cp:lastPrinted>2017-03-31T18:02:14Z</cp:lastPrinted>
  <dcterms:created xsi:type="dcterms:W3CDTF">2011-04-28T01:08:11Z</dcterms:created>
  <dcterms:modified xsi:type="dcterms:W3CDTF">2021-05-13T14:14:08Z</dcterms:modified>
</cp:coreProperties>
</file>