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115bbae14a421b1/Documents/New Zealand Trip/2027/"/>
    </mc:Choice>
  </mc:AlternateContent>
  <xr:revisionPtr revIDLastSave="162" documentId="8_{B748B4CB-78A7-4464-B50D-41B1D9501CB5}" xr6:coauthVersionLast="47" xr6:coauthVersionMax="47" xr10:uidLastSave="{86388C39-8C62-4C32-9A57-71AD4148B93D}"/>
  <bookViews>
    <workbookView xWindow="-108" yWindow="-108" windowWidth="23256" windowHeight="12456" activeTab="2" xr2:uid="{00000000-000D-0000-FFFF-FFFF00000000}"/>
  </bookViews>
  <sheets>
    <sheet name="Trip Cost Worksheet" sheetId="6" r:id="rId1"/>
    <sheet name="Leader Costs" sheetId="7" r:id="rId2"/>
    <sheet name="Budget, Incl &amp; Excl expenses" sheetId="1" r:id="rId3"/>
    <sheet name="Budget for Club Accounting" sheetId="5" r:id="rId4"/>
  </sheets>
  <definedNames>
    <definedName name="Participants">'Budget, Incl &amp; Excl expenses'!$C$16</definedName>
    <definedName name="Total_Revenu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6" l="1"/>
  <c r="F16" i="6"/>
  <c r="G18" i="1"/>
  <c r="C18" i="1"/>
  <c r="H9" i="1"/>
  <c r="D7" i="5" s="1"/>
  <c r="H8" i="1"/>
  <c r="D6" i="5" s="1"/>
  <c r="M13" i="6"/>
  <c r="M14" i="6" s="1"/>
  <c r="H14" i="1" s="1"/>
  <c r="D9" i="5" s="1"/>
  <c r="B17" i="5" a="1"/>
  <c r="B17" i="5" s="1"/>
  <c r="F22" i="6"/>
  <c r="F23" i="6" s="1"/>
  <c r="D14" i="1" s="1"/>
  <c r="B9" i="5" s="1"/>
  <c r="D18" i="5" l="1"/>
  <c r="C16" i="1" l="1"/>
  <c r="C15" i="1"/>
  <c r="C14" i="1"/>
  <c r="C13" i="1"/>
  <c r="C12" i="1"/>
  <c r="C11" i="1"/>
  <c r="C10" i="1"/>
  <c r="G17" i="1"/>
  <c r="G16" i="1"/>
  <c r="G15" i="1"/>
  <c r="G14" i="1"/>
  <c r="G13" i="1"/>
  <c r="G12" i="1"/>
  <c r="G11" i="1"/>
  <c r="G10" i="1"/>
  <c r="G9" i="1"/>
  <c r="G8" i="1"/>
  <c r="C18" i="6"/>
  <c r="C15" i="6"/>
  <c r="C16" i="6" s="1"/>
  <c r="I14" i="6"/>
  <c r="L13" i="6"/>
  <c r="L14" i="6" s="1"/>
  <c r="K13" i="6"/>
  <c r="K14" i="6" s="1"/>
  <c r="H7" i="1" s="1"/>
  <c r="D5" i="5" s="1"/>
  <c r="D11" i="6"/>
  <c r="C11" i="6"/>
  <c r="C12" i="6" s="1"/>
  <c r="C13" i="6" s="1"/>
  <c r="C14" i="6" s="1"/>
  <c r="J8" i="6"/>
  <c r="C8" i="6"/>
  <c r="J7" i="6"/>
  <c r="J13" i="6" s="1"/>
  <c r="J14" i="6" s="1"/>
  <c r="D7" i="6"/>
  <c r="C7" i="6"/>
  <c r="D22" i="6"/>
  <c r="D23" i="6" s="1"/>
  <c r="D7" i="1" s="1"/>
  <c r="B5" i="5" s="1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H4" i="6"/>
  <c r="H5" i="6" s="1"/>
  <c r="H6" i="6" s="1"/>
  <c r="H7" i="6" s="1"/>
  <c r="H8" i="6" s="1"/>
  <c r="H9" i="6" s="1"/>
  <c r="H10" i="6" s="1"/>
  <c r="H11" i="6" s="1"/>
  <c r="E4" i="6"/>
  <c r="E22" i="6" s="1"/>
  <c r="E23" i="6" s="1"/>
  <c r="D9" i="1" s="1"/>
  <c r="B7" i="5" s="1"/>
  <c r="E4" i="7"/>
  <c r="E20" i="7" s="1"/>
  <c r="D17" i="1" s="1"/>
  <c r="G7" i="1" l="1"/>
  <c r="C17" i="1"/>
  <c r="B10" i="5"/>
  <c r="C7" i="1"/>
  <c r="C9" i="1"/>
  <c r="G20" i="1"/>
  <c r="H20" i="1"/>
  <c r="C22" i="6"/>
  <c r="C23" i="6" s="1"/>
  <c r="D8" i="1" s="1"/>
  <c r="B6" i="5" l="1"/>
  <c r="C8" i="1"/>
  <c r="C20" i="1" s="1"/>
  <c r="C21" i="1" s="1"/>
  <c r="D20" i="1"/>
  <c r="D21" i="1" s="1"/>
  <c r="H21" i="1"/>
  <c r="G21" i="1" s="1"/>
  <c r="G22" i="1" s="1"/>
  <c r="C22" i="1" l="1"/>
  <c r="C23" i="1" s="1"/>
  <c r="C24" i="1" s="1"/>
  <c r="D22" i="1"/>
  <c r="D23" i="1" s="1"/>
  <c r="D10" i="5"/>
  <c r="H22" i="1"/>
  <c r="H23" i="1" s="1"/>
  <c r="G23" i="1"/>
  <c r="G24" i="1"/>
  <c r="B18" i="5"/>
  <c r="H24" i="1" l="1"/>
  <c r="D11" i="5"/>
  <c r="D12" i="5" s="1"/>
  <c r="D15" i="5" s="1"/>
  <c r="D24" i="1"/>
  <c r="B11" i="5"/>
  <c r="B12" i="5" s="1"/>
  <c r="B15" i="5" s="1"/>
  <c r="D19" i="5" l="1"/>
  <c r="D20" i="5" s="1"/>
  <c r="D21" i="5"/>
  <c r="B19" i="5"/>
  <c r="B20" i="5" s="1"/>
  <c r="B2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Cheryl Talbert</author>
    <author>tc={BF71E970-37B9-47E3-9212-2AACDA72A082}</author>
    <author>tc={A8007AA0-53CA-4847-9512-A7EE60242460}</author>
    <author>tc={9FD43928-5E5A-4B75-8FB7-85BB3D9C28D8}</author>
    <author>tc={226C32EB-9EC8-4495-98F7-424C999B5634}</author>
    <author>tc={54083BC6-3615-4C2C-93EC-842C848E6772}</author>
    <author>tc={1C6245BD-451B-49DB-BBE9-0B31D415C8D4}</author>
  </authors>
  <commentList>
    <comment ref="E4" authorId="0" shapeId="0" xr:uid="{3403FDC0-D049-49BB-8A3B-1BEE8DCF29C0}">
      <text>
        <r>
          <rPr>
            <b/>
            <sz val="9"/>
            <color indexed="81"/>
            <rFont val="Tahoma"/>
            <family val="2"/>
          </rPr>
          <t>Cheryl Talbert:</t>
        </r>
        <r>
          <rPr>
            <sz val="9"/>
            <color indexed="81"/>
            <rFont val="Tahoma"/>
            <family val="2"/>
          </rPr>
          <t xml:space="preserve">
Skyway gondola and special dinner - 7:45PM</t>
        </r>
      </text>
    </comment>
    <comment ref="K4" authorId="1" shapeId="0" xr:uid="{BF71E970-37B9-47E3-9212-2AACDA72A082}">
      <text>
        <t>[Threaded comment]
Your version of Excel allows you to read this threaded comment; however, any edits to it will get removed if the file is opened in a newer version of Excel. Learn more: https://go.microsoft.com/fwlink/?linkid=870924
Comment:
    Rental vans shared over the group, plus gas</t>
      </text>
    </comment>
    <comment ref="D6" authorId="2" shapeId="0" xr:uid="{A8007AA0-53CA-4847-9512-A7EE60242460}">
      <text>
        <t>[Threaded comment]
Your version of Excel allows you to read this threaded comment; however, any edits to it will get removed if the file is opened in a newer version of Excel. Learn more: https://go.microsoft.com/fwlink/?linkid=870924
Comment:
    Rental of 2 vans from 2/11 to 2/25, Queenstown to Queenstown, spread over 12 people, plus gas</t>
      </text>
    </comment>
    <comment ref="D11" authorId="3" shapeId="0" xr:uid="{9FD43928-5E5A-4B75-8FB7-85BB3D9C28D8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Includes Milford cruise purchased through Tracknet</t>
      </text>
    </comment>
    <comment ref="C15" authorId="4" shapeId="0" xr:uid="{226C32EB-9EC8-4495-98F7-424C999B563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555 Motel Dunedin
</t>
      </text>
    </comment>
    <comment ref="F16" authorId="5" shapeId="0" xr:uid="{54083BC6-3615-4C2C-93EC-842C848E6772}">
      <text>
        <t>[Threaded comment]
Your version of Excel allows you to read this threaded comment; however, any edits to it will get removed if the file is opened in a newer version of Excel. Learn more: https://go.microsoft.com/fwlink/?linkid=870924
Comment:
    Entry fees for Royal Albatross colony and either penguin sanctuary or sunset blue penguin walk</t>
      </text>
    </comment>
    <comment ref="C17" authorId="6" shapeId="0" xr:uid="{1C6245BD-451B-49DB-BBE9-0B31D415C8D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Last Light Lodge
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<sst xmlns="http://schemas.openxmlformats.org/spreadsheetml/2006/main" count="153" uniqueCount="127">
  <si>
    <t>Contingency:</t>
  </si>
  <si>
    <t>Guide/Trekking Service:</t>
  </si>
  <si>
    <t>Excursions/Tours:</t>
  </si>
  <si>
    <t>Cancellation Insurance:</t>
  </si>
  <si>
    <t>Travel Agency Fees:</t>
  </si>
  <si>
    <t>Expense Total</t>
  </si>
  <si>
    <t>GrandTotal</t>
  </si>
  <si>
    <t>(Not all expense categories need to be utilized.  They may not be applicable or listed as excluded expenses.)</t>
  </si>
  <si>
    <t>Expenses NOT Included in Trip Price</t>
  </si>
  <si>
    <t>Passes/Permits:</t>
  </si>
  <si>
    <t>Equipment Rental (phone, vehicle, boats, gear):</t>
  </si>
  <si>
    <t>Administration (Memberships, maps, tax, phone, postage, copying):</t>
  </si>
  <si>
    <t>Food (meals, supplies):</t>
  </si>
  <si>
    <t>Lodging (Hotels, Huts, Camp Fees):</t>
  </si>
  <si>
    <t>Transportation (air travel, trains, buses, taxis, boats within main itinerary)</t>
  </si>
  <si>
    <t>Cost Per Person</t>
  </si>
  <si>
    <t>Other (please describe)</t>
  </si>
  <si>
    <t>Included  Insurance:</t>
  </si>
  <si>
    <t>Leaders' Incremental Trip Expenses (airfare, other transport, etc)</t>
  </si>
  <si>
    <t>Subtotal</t>
  </si>
  <si>
    <t>Mountaineers Admin Fee</t>
  </si>
  <si>
    <t>* Leader fill in green cells.  Do NOT type in the other cells - they will calculate automatically.</t>
  </si>
  <si>
    <t>Transportation</t>
  </si>
  <si>
    <t>Food</t>
  </si>
  <si>
    <t>Transport</t>
  </si>
  <si>
    <t>Lodging</t>
  </si>
  <si>
    <t>Total Cost</t>
  </si>
  <si>
    <t>Total Revenue</t>
  </si>
  <si>
    <t>Cost Per Participant</t>
  </si>
  <si>
    <t>Number of Participants (not including leaders) - modify as appropriate</t>
  </si>
  <si>
    <t>Notes/Explanation</t>
  </si>
  <si>
    <t>Notes/Description</t>
  </si>
  <si>
    <t>Budget for Club Accounting</t>
  </si>
  <si>
    <t>Administration, Equipment Rentals, Passes/permits, insurance</t>
  </si>
  <si>
    <t>Guides, Travel Agents, Tours</t>
  </si>
  <si>
    <t>Number of Participants (not counting leaders)</t>
  </si>
  <si>
    <t>Per Person Trip Price</t>
  </si>
  <si>
    <t>Net</t>
  </si>
  <si>
    <t>DATE</t>
  </si>
  <si>
    <t>Tours</t>
  </si>
  <si>
    <t>Trip Expenses with contingency</t>
  </si>
  <si>
    <t>Incremental Leader Expenses</t>
  </si>
  <si>
    <t>Trip Cost Per Paying Participant</t>
  </si>
  <si>
    <t>Total Cost - Main</t>
  </si>
  <si>
    <t>What % of the direct costs of the trip
will be covered for each leader?</t>
  </si>
  <si>
    <t>Incremental expenses can include leader airfare/transport to and from the trip,
but not the direct costs of the trip</t>
  </si>
  <si>
    <t>Please add detailed descriptions of incremental expenses
in this column</t>
  </si>
  <si>
    <t>Trip Leader Name</t>
  </si>
  <si>
    <t>Trip Cost %</t>
  </si>
  <si>
    <t>Incremental Expenses - Flights</t>
  </si>
  <si>
    <t>Incremental Expenses - Other</t>
  </si>
  <si>
    <t>Incremental Expenses - TOTAL</t>
  </si>
  <si>
    <t>Incremental Expenses - Description</t>
  </si>
  <si>
    <t># of trip leaders with full trip cost paid:</t>
  </si>
  <si>
    <t>Trip leaders' total incremental expenses</t>
  </si>
  <si>
    <t>[this value is used in the calculation of 'Number of Participants (not including leaders)' in the 'Budget for GA Committee' tab]</t>
  </si>
  <si>
    <t>[this value is used in the calculation of 'Leaders' Incremental Trip Expenses (not included above)' in the 'Budget for GA Committee' tab]</t>
  </si>
  <si>
    <t>Cheryl Talbert</t>
  </si>
  <si>
    <t>Included Costs</t>
  </si>
  <si>
    <t>North Island and Tongariro Northern Circuit</t>
  </si>
  <si>
    <t>Excluded costs</t>
  </si>
  <si>
    <t>ACTIVITY</t>
  </si>
  <si>
    <t>DAY</t>
  </si>
  <si>
    <t>LODGING</t>
  </si>
  <si>
    <t>TRANSPORT</t>
  </si>
  <si>
    <t>FOOD</t>
  </si>
  <si>
    <t>tours</t>
  </si>
  <si>
    <t>Depart Seattle for flight to Auckland</t>
  </si>
  <si>
    <t>Arrive in Auckland, shuttle to harbor area, spend the afternoon exploring, welcome dinner, stay there</t>
  </si>
  <si>
    <t>Tour Wai-a-Tapu thermal area, drive to Taupo, lunch and play on the lake, end as close as possible to Whakapapa</t>
  </si>
  <si>
    <t xml:space="preserve">Transfer to Te Anau, afternoon in Te Anau, stay at Lakeside Motel   </t>
  </si>
  <si>
    <t>Day 1 of Tongariro Northern Circuit - visit Tana Lakes, walk to Waihohonu camp, stay there</t>
  </si>
  <si>
    <t xml:space="preserve">Take water taxi to Brod Bay, hike the Kepler Track to Luxmore Hut,  stay there.  Possible side trip to Luxmore Caves or Mt Luxmore.   </t>
  </si>
  <si>
    <t>Visit the Ohinepango Springs, walk to Oturere Camp - stay there</t>
  </si>
  <si>
    <t>Hike the Kepler Track  to Iris Burn hut, Stay there.</t>
  </si>
  <si>
    <t>Walk past Red Tarns, Emerald Pools, Mt Ngauruhoe to Mangatepopo Camp - stay there</t>
  </si>
  <si>
    <t>Hike the Kepler track to Rainbow Reach - bus back to Te Anau.  Stay at Lakeside Motel.</t>
  </si>
  <si>
    <t>Walk back to Whakapapa to finish Tongariro N Circuit - drive north to Waitomo area</t>
  </si>
  <si>
    <t>Laundry and rest - stay in Te Anau</t>
  </si>
  <si>
    <t>Waitomo Caves optional tour - drive to Auckland airport</t>
  </si>
  <si>
    <t>Bus then boat to Glade Wharf - start Milford track with walk to Clinton Hut</t>
  </si>
  <si>
    <t>AM flights to Queenstown</t>
  </si>
  <si>
    <t>Walk to Mintaro Hut</t>
  </si>
  <si>
    <t>Walk to Dumpling hut</t>
  </si>
  <si>
    <t>Walk to Sandfly point - Milford Sound Cruise - transfer back to Te Anau</t>
  </si>
  <si>
    <t>Morning for laundry and rest, then drive to Dunedin or Otago</t>
  </si>
  <si>
    <t>Start Hump Ridge Track - stay at Okaka Lodge</t>
  </si>
  <si>
    <t>Explore tors and tarns at sunrise - Walk Hump Ridge track over historic trestles to Port Craig.  Swim with Hector's dolphins!</t>
  </si>
  <si>
    <t>Walk Port Craig back to carpark, drive to Queenstown for the night</t>
  </si>
  <si>
    <t>Fly out of Queenstown</t>
  </si>
  <si>
    <t>USD</t>
  </si>
  <si>
    <t>Pre-Trip Budget Worksheet</t>
  </si>
  <si>
    <t>Leader's Name:  Cheryl Talbert</t>
  </si>
  <si>
    <t xml:space="preserve">Budget - Main Itinerary </t>
  </si>
  <si>
    <t>Budget - N Island Extension</t>
  </si>
  <si>
    <t>Expenses Included*</t>
  </si>
  <si>
    <t>air travel</t>
  </si>
  <si>
    <t>Leader's Share of Total Trip Expenses</t>
  </si>
  <si>
    <t>For currency fluctuations and inflation</t>
  </si>
  <si>
    <t>Expenses shown are all contracted in NZ dollars, converted to USD using a .72 exchange rate (5 year low)</t>
  </si>
  <si>
    <t xml:space="preserve"> </t>
  </si>
  <si>
    <t>optional</t>
  </si>
  <si>
    <t>Travel medical/medevac Insurance:</t>
  </si>
  <si>
    <t>required</t>
  </si>
  <si>
    <t>Airfare</t>
  </si>
  <si>
    <t>Planned Adventure Dates:  Feb 9-26, 2027 - extension Feb 1-9, 2027</t>
  </si>
  <si>
    <t>Total Cost - Pre-Trek Extension</t>
  </si>
  <si>
    <t>Adventure Title:   Backpack New Zealand's Best "Great Walks" and Tramping Trails</t>
  </si>
  <si>
    <t>Adventure Title:    Backpack New Zealand's Best "Great Walks" and Tramping Trails</t>
  </si>
  <si>
    <t>Backpack New Zealand's Best "Great Walks" and Tramping Trails 2027</t>
  </si>
  <si>
    <t>Rest day in Queenstown - explore, optional adventure activities, stay at Melbourne Lodge</t>
  </si>
  <si>
    <t>Drive to Tuatapare via south coast including Nugget Point lighthouse, Curio Bay, Bluff point - night there</t>
  </si>
  <si>
    <t>Explore the Otago Peninsula - Royal Albatross colony, penguin sanctuary, Sandfly beach, optional sunset blue penguin walk - night near Dunedin</t>
  </si>
  <si>
    <t>Drive to Rotorua, explore, Maori celebration at Te Pa Tu, night in Rotorua</t>
  </si>
  <si>
    <t xml:space="preserve">Arrive in Auckland, fly to Queenstown, stay at Melbourne Lodge Queenstown.   Welcome dinner at Skyline restaurant. </t>
  </si>
  <si>
    <t>all trail food and breakfasts, lunches and dinners in town</t>
  </si>
  <si>
    <t>$200-300</t>
  </si>
  <si>
    <t>$150-350</t>
  </si>
  <si>
    <t>$75-150</t>
  </si>
  <si>
    <t>$50-300</t>
  </si>
  <si>
    <t>$75-200</t>
  </si>
  <si>
    <t>included in main itinerary expense</t>
  </si>
  <si>
    <t>wide range of available activities</t>
  </si>
  <si>
    <t>$110-200</t>
  </si>
  <si>
    <t>Waitomo glowworm caves options</t>
  </si>
  <si>
    <t>1975-2600</t>
  </si>
  <si>
    <t>185-400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</si>
</sst>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[$-F800]dddd\,\ mmmm\ dd\,\ yyyy"/>
    <numFmt numFmtId="166" formatCode="[$-409]d\-mmm\-yy;@"/>
    <numFmt numFmtId="167" formatCode="mm/dd/yy;@"/>
    <numFmt numFmtId="168" formatCode="_(* #,##0_);_(* \(#,##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8"/>
      <color theme="1"/>
      <name val="Arial"/>
      <family val="2"/>
    </font>
    <font>
      <sz val="11"/>
      <color rgb="FF000000"/>
      <name val="Calibri"/>
      <family val="2"/>
    </font>
    <font>
      <sz val="14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02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3" xfId="0" applyFont="1" applyBorder="1" applyAlignment="1">
      <alignment vertical="center" wrapText="1"/>
    </xf>
    <xf numFmtId="0" fontId="5" fillId="0" borderId="0" xfId="0" applyFont="1"/>
    <xf numFmtId="0" fontId="0" fillId="0" borderId="0" xfId="0" applyAlignment="1">
      <alignment horizontal="center"/>
    </xf>
    <xf numFmtId="0" fontId="0" fillId="0" borderId="18" xfId="0" applyBorder="1"/>
    <xf numFmtId="0" fontId="0" fillId="0" borderId="19" xfId="0" applyBorder="1"/>
    <xf numFmtId="0" fontId="2" fillId="0" borderId="0" xfId="0" applyFont="1" applyAlignment="1">
      <alignment horizontal="center"/>
    </xf>
    <xf numFmtId="164" fontId="0" fillId="0" borderId="0" xfId="0" applyNumberFormat="1"/>
    <xf numFmtId="0" fontId="0" fillId="0" borderId="18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44" fontId="0" fillId="0" borderId="0" xfId="0" applyNumberFormat="1"/>
    <xf numFmtId="2" fontId="0" fillId="0" borderId="0" xfId="0" applyNumberFormat="1"/>
    <xf numFmtId="0" fontId="2" fillId="0" borderId="0" xfId="0" applyFont="1"/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164" fontId="7" fillId="3" borderId="2" xfId="1" applyNumberFormat="1" applyFont="1" applyFill="1" applyBorder="1" applyAlignment="1">
      <alignment horizontal="center" vertical="center" wrapText="1"/>
    </xf>
    <xf numFmtId="164" fontId="7" fillId="0" borderId="6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164" fontId="7" fillId="0" borderId="0" xfId="0" applyNumberFormat="1" applyFont="1" applyAlignment="1">
      <alignment horizontal="center"/>
    </xf>
    <xf numFmtId="0" fontId="7" fillId="0" borderId="0" xfId="0" applyFont="1" applyAlignment="1">
      <alignment vertical="center"/>
    </xf>
    <xf numFmtId="9" fontId="7" fillId="0" borderId="0" xfId="2" applyFont="1" applyAlignment="1">
      <alignment horizontal="right"/>
    </xf>
    <xf numFmtId="0" fontId="4" fillId="0" borderId="11" xfId="0" applyFont="1" applyBorder="1" applyAlignment="1">
      <alignment horizontal="left" vertical="center" wrapText="1"/>
    </xf>
    <xf numFmtId="164" fontId="7" fillId="0" borderId="17" xfId="1" applyNumberFormat="1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left" vertical="center" wrapText="1"/>
    </xf>
    <xf numFmtId="164" fontId="7" fillId="0" borderId="18" xfId="1" applyNumberFormat="1" applyFont="1" applyFill="1" applyBorder="1" applyAlignment="1">
      <alignment horizontal="center" vertical="center" wrapText="1"/>
    </xf>
    <xf numFmtId="164" fontId="7" fillId="0" borderId="2" xfId="1" applyNumberFormat="1" applyFont="1" applyFill="1" applyBorder="1" applyAlignment="1">
      <alignment horizontal="center" vertical="center" wrapText="1"/>
    </xf>
    <xf numFmtId="0" fontId="6" fillId="0" borderId="25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2" fillId="0" borderId="37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166" fontId="0" fillId="0" borderId="0" xfId="0" applyNumberFormat="1" applyAlignment="1">
      <alignment horizontal="right"/>
    </xf>
    <xf numFmtId="164" fontId="0" fillId="0" borderId="0" xfId="1" applyNumberFormat="1" applyFont="1"/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2" fillId="0" borderId="16" xfId="0" applyFont="1" applyBorder="1" applyAlignment="1">
      <alignment horizontal="left" vertical="center"/>
    </xf>
    <xf numFmtId="167" fontId="0" fillId="3" borderId="11" xfId="0" applyNumberFormat="1" applyFill="1" applyBorder="1" applyAlignment="1">
      <alignment horizontal="left"/>
    </xf>
    <xf numFmtId="9" fontId="0" fillId="3" borderId="36" xfId="1" applyNumberFormat="1" applyFont="1" applyFill="1" applyBorder="1"/>
    <xf numFmtId="44" fontId="0" fillId="3" borderId="36" xfId="1" applyFont="1" applyFill="1" applyBorder="1"/>
    <xf numFmtId="44" fontId="0" fillId="4" borderId="32" xfId="1" applyFont="1" applyFill="1" applyBorder="1"/>
    <xf numFmtId="167" fontId="0" fillId="3" borderId="12" xfId="0" applyNumberFormat="1" applyFill="1" applyBorder="1" applyAlignment="1">
      <alignment horizontal="left"/>
    </xf>
    <xf numFmtId="9" fontId="0" fillId="3" borderId="35" xfId="1" applyNumberFormat="1" applyFont="1" applyFill="1" applyBorder="1"/>
    <xf numFmtId="44" fontId="0" fillId="3" borderId="35" xfId="1" applyFont="1" applyFill="1" applyBorder="1"/>
    <xf numFmtId="44" fontId="0" fillId="4" borderId="30" xfId="1" applyFont="1" applyFill="1" applyBorder="1"/>
    <xf numFmtId="167" fontId="0" fillId="3" borderId="13" xfId="0" applyNumberFormat="1" applyFill="1" applyBorder="1" applyAlignment="1">
      <alignment horizontal="left"/>
    </xf>
    <xf numFmtId="9" fontId="0" fillId="3" borderId="37" xfId="1" applyNumberFormat="1" applyFont="1" applyFill="1" applyBorder="1"/>
    <xf numFmtId="44" fontId="0" fillId="3" borderId="37" xfId="1" applyFont="1" applyFill="1" applyBorder="1"/>
    <xf numFmtId="44" fontId="0" fillId="4" borderId="31" xfId="1" applyFont="1" applyFill="1" applyBorder="1"/>
    <xf numFmtId="164" fontId="2" fillId="0" borderId="0" xfId="1" applyNumberFormat="1" applyFont="1"/>
    <xf numFmtId="39" fontId="2" fillId="4" borderId="6" xfId="0" applyNumberFormat="1" applyFont="1" applyFill="1" applyBorder="1"/>
    <xf numFmtId="39" fontId="2" fillId="0" borderId="0" xfId="0" applyNumberFormat="1" applyFont="1"/>
    <xf numFmtId="44" fontId="2" fillId="4" borderId="6" xfId="0" applyNumberFormat="1" applyFont="1" applyFill="1" applyBorder="1"/>
    <xf numFmtId="0" fontId="0" fillId="0" borderId="11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2" fillId="0" borderId="19" xfId="0" applyFont="1" applyBorder="1" applyAlignment="1">
      <alignment horizontal="center"/>
    </xf>
    <xf numFmtId="0" fontId="0" fillId="0" borderId="17" xfId="0" applyBorder="1" applyAlignment="1">
      <alignment horizontal="left" wrapText="1"/>
    </xf>
    <xf numFmtId="0" fontId="0" fillId="0" borderId="18" xfId="0" applyBorder="1" applyAlignment="1">
      <alignment horizontal="left" wrapText="1"/>
    </xf>
    <xf numFmtId="44" fontId="0" fillId="0" borderId="18" xfId="1" applyFont="1" applyFill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164" fontId="10" fillId="3" borderId="6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left"/>
    </xf>
    <xf numFmtId="0" fontId="2" fillId="0" borderId="0" xfId="0" applyFont="1" applyAlignment="1">
      <alignment wrapText="1"/>
    </xf>
    <xf numFmtId="0" fontId="6" fillId="0" borderId="0" xfId="0" applyFont="1"/>
    <xf numFmtId="0" fontId="2" fillId="5" borderId="42" xfId="0" applyFont="1" applyFill="1" applyBorder="1" applyAlignment="1">
      <alignment horizontal="left"/>
    </xf>
    <xf numFmtId="0" fontId="2" fillId="5" borderId="33" xfId="0" applyFont="1" applyFill="1" applyBorder="1" applyAlignment="1">
      <alignment wrapText="1"/>
    </xf>
    <xf numFmtId="0" fontId="2" fillId="0" borderId="23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2" fillId="0" borderId="43" xfId="0" applyFont="1" applyBorder="1" applyAlignment="1">
      <alignment horizontal="center"/>
    </xf>
    <xf numFmtId="0" fontId="2" fillId="0" borderId="44" xfId="0" applyFont="1" applyBorder="1" applyAlignment="1">
      <alignment horizontal="left"/>
    </xf>
    <xf numFmtId="0" fontId="2" fillId="0" borderId="38" xfId="0" applyFont="1" applyBorder="1" applyAlignment="1">
      <alignment wrapText="1"/>
    </xf>
    <xf numFmtId="44" fontId="2" fillId="0" borderId="23" xfId="1" applyFont="1" applyBorder="1"/>
    <xf numFmtId="44" fontId="2" fillId="0" borderId="42" xfId="1" applyFont="1" applyBorder="1"/>
    <xf numFmtId="44" fontId="2" fillId="0" borderId="43" xfId="1" applyFont="1" applyBorder="1"/>
    <xf numFmtId="165" fontId="9" fillId="0" borderId="45" xfId="0" applyNumberFormat="1" applyFont="1" applyBorder="1" applyAlignment="1">
      <alignment horizontal="left" vertical="center"/>
    </xf>
    <xf numFmtId="0" fontId="0" fillId="0" borderId="11" xfId="0" applyBorder="1"/>
    <xf numFmtId="164" fontId="0" fillId="0" borderId="36" xfId="1" applyNumberFormat="1" applyFont="1" applyBorder="1"/>
    <xf numFmtId="164" fontId="0" fillId="0" borderId="36" xfId="1" applyNumberFormat="1" applyFont="1" applyBorder="1" applyAlignment="1">
      <alignment horizontal="center"/>
    </xf>
    <xf numFmtId="164" fontId="0" fillId="0" borderId="32" xfId="1" applyNumberFormat="1" applyFont="1" applyBorder="1"/>
    <xf numFmtId="0" fontId="4" fillId="0" borderId="0" xfId="0" applyFont="1"/>
    <xf numFmtId="165" fontId="9" fillId="0" borderId="11" xfId="0" applyNumberFormat="1" applyFont="1" applyBorder="1" applyAlignment="1">
      <alignment horizontal="left" vertical="center"/>
    </xf>
    <xf numFmtId="0" fontId="0" fillId="0" borderId="36" xfId="0" applyBorder="1" applyAlignment="1">
      <alignment vertical="center" wrapText="1"/>
    </xf>
    <xf numFmtId="44" fontId="1" fillId="0" borderId="36" xfId="1" applyFont="1" applyBorder="1"/>
    <xf numFmtId="44" fontId="1" fillId="0" borderId="32" xfId="1" applyFont="1" applyBorder="1"/>
    <xf numFmtId="164" fontId="0" fillId="0" borderId="35" xfId="1" applyNumberFormat="1" applyFont="1" applyBorder="1"/>
    <xf numFmtId="164" fontId="0" fillId="0" borderId="40" xfId="1" applyNumberFormat="1" applyFont="1" applyBorder="1" applyAlignment="1">
      <alignment horizontal="center"/>
    </xf>
    <xf numFmtId="164" fontId="0" fillId="0" borderId="30" xfId="1" applyNumberFormat="1" applyFont="1" applyBorder="1"/>
    <xf numFmtId="165" fontId="9" fillId="0" borderId="12" xfId="0" applyNumberFormat="1" applyFont="1" applyBorder="1" applyAlignment="1">
      <alignment horizontal="left" vertical="center"/>
    </xf>
    <xf numFmtId="0" fontId="0" fillId="0" borderId="40" xfId="0" applyBorder="1" applyAlignment="1">
      <alignment vertical="center" wrapText="1"/>
    </xf>
    <xf numFmtId="44" fontId="1" fillId="0" borderId="40" xfId="1" applyFont="1" applyBorder="1"/>
    <xf numFmtId="44" fontId="1" fillId="0" borderId="41" xfId="1" applyFont="1" applyBorder="1"/>
    <xf numFmtId="165" fontId="9" fillId="0" borderId="5" xfId="0" applyNumberFormat="1" applyFont="1" applyBorder="1" applyAlignment="1">
      <alignment horizontal="left" vertical="center"/>
    </xf>
    <xf numFmtId="0" fontId="0" fillId="0" borderId="35" xfId="0" applyBorder="1" applyAlignment="1">
      <alignment vertical="center" wrapText="1"/>
    </xf>
    <xf numFmtId="44" fontId="1" fillId="0" borderId="35" xfId="1" applyFont="1" applyBorder="1"/>
    <xf numFmtId="44" fontId="1" fillId="0" borderId="30" xfId="1" applyFont="1" applyBorder="1"/>
    <xf numFmtId="0" fontId="9" fillId="0" borderId="12" xfId="0" applyFont="1" applyBorder="1" applyAlignment="1">
      <alignment vertical="center" wrapText="1"/>
    </xf>
    <xf numFmtId="164" fontId="0" fillId="0" borderId="0" xfId="1" applyNumberFormat="1" applyFont="1" applyFill="1" applyBorder="1"/>
    <xf numFmtId="44" fontId="0" fillId="0" borderId="0" xfId="1" applyFont="1" applyFill="1" applyBorder="1"/>
    <xf numFmtId="44" fontId="0" fillId="0" borderId="35" xfId="1" applyFont="1" applyBorder="1"/>
    <xf numFmtId="165" fontId="9" fillId="0" borderId="46" xfId="0" applyNumberFormat="1" applyFont="1" applyBorder="1" applyAlignment="1">
      <alignment horizontal="left" vertical="center"/>
    </xf>
    <xf numFmtId="0" fontId="0" fillId="0" borderId="37" xfId="0" applyBorder="1" applyAlignment="1">
      <alignment vertical="center" wrapText="1"/>
    </xf>
    <xf numFmtId="164" fontId="0" fillId="0" borderId="37" xfId="1" applyNumberFormat="1" applyFont="1" applyBorder="1"/>
    <xf numFmtId="164" fontId="0" fillId="0" borderId="31" xfId="1" applyNumberFormat="1" applyFont="1" applyBorder="1"/>
    <xf numFmtId="164" fontId="0" fillId="0" borderId="0" xfId="1" applyNumberFormat="1" applyFont="1" applyBorder="1" applyAlignment="1">
      <alignment wrapText="1"/>
    </xf>
    <xf numFmtId="44" fontId="0" fillId="0" borderId="0" xfId="1" applyFont="1" applyAlignment="1">
      <alignment horizontal="right"/>
    </xf>
    <xf numFmtId="44" fontId="0" fillId="0" borderId="0" xfId="1" applyFont="1" applyBorder="1" applyAlignment="1">
      <alignment wrapText="1"/>
    </xf>
    <xf numFmtId="168" fontId="0" fillId="0" borderId="0" xfId="3" applyNumberFormat="1" applyFont="1" applyBorder="1" applyAlignment="1">
      <alignment wrapText="1"/>
    </xf>
    <xf numFmtId="168" fontId="9" fillId="0" borderId="0" xfId="3" applyNumberFormat="1" applyFont="1" applyFill="1" applyBorder="1" applyAlignment="1">
      <alignment horizontal="left" vertical="center"/>
    </xf>
    <xf numFmtId="1" fontId="0" fillId="0" borderId="0" xfId="0" applyNumberFormat="1"/>
    <xf numFmtId="0" fontId="2" fillId="0" borderId="1" xfId="0" applyFont="1" applyBorder="1"/>
    <xf numFmtId="0" fontId="2" fillId="0" borderId="31" xfId="0" applyFont="1" applyBorder="1" applyAlignment="1">
      <alignment horizontal="center" vertical="center" wrapText="1"/>
    </xf>
    <xf numFmtId="0" fontId="2" fillId="0" borderId="29" xfId="0" applyFont="1" applyBorder="1"/>
    <xf numFmtId="0" fontId="2" fillId="0" borderId="23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164" fontId="0" fillId="4" borderId="17" xfId="1" applyNumberFormat="1" applyFont="1" applyFill="1" applyBorder="1" applyAlignment="1">
      <alignment horizontal="center" vertical="center" wrapText="1"/>
    </xf>
    <xf numFmtId="164" fontId="0" fillId="3" borderId="26" xfId="1" applyNumberFormat="1" applyFont="1" applyFill="1" applyBorder="1" applyAlignment="1">
      <alignment horizontal="center" vertical="center" wrapText="1"/>
    </xf>
    <xf numFmtId="164" fontId="0" fillId="4" borderId="11" xfId="1" applyNumberFormat="1" applyFont="1" applyFill="1" applyBorder="1" applyAlignment="1">
      <alignment horizontal="center" vertical="center" wrapText="1"/>
    </xf>
    <xf numFmtId="164" fontId="0" fillId="3" borderId="32" xfId="1" applyNumberFormat="1" applyFont="1" applyFill="1" applyBorder="1" applyAlignment="1">
      <alignment horizontal="center" vertical="center" wrapText="1"/>
    </xf>
    <xf numFmtId="0" fontId="0" fillId="0" borderId="39" xfId="0" applyBorder="1" applyAlignment="1">
      <alignment wrapText="1"/>
    </xf>
    <xf numFmtId="164" fontId="0" fillId="4" borderId="18" xfId="1" applyNumberFormat="1" applyFont="1" applyFill="1" applyBorder="1" applyAlignment="1">
      <alignment horizontal="center" vertical="center" wrapText="1"/>
    </xf>
    <xf numFmtId="164" fontId="0" fillId="3" borderId="27" xfId="1" applyNumberFormat="1" applyFont="1" applyFill="1" applyBorder="1" applyAlignment="1">
      <alignment horizontal="center" vertical="center" wrapText="1"/>
    </xf>
    <xf numFmtId="164" fontId="0" fillId="4" borderId="12" xfId="1" applyNumberFormat="1" applyFont="1" applyFill="1" applyBorder="1" applyAlignment="1">
      <alignment horizontal="center" vertical="center" wrapText="1"/>
    </xf>
    <xf numFmtId="164" fontId="0" fillId="3" borderId="30" xfId="1" applyNumberFormat="1" applyFont="1" applyFill="1" applyBorder="1" applyAlignment="1">
      <alignment horizontal="center" vertical="center" wrapText="1"/>
    </xf>
    <xf numFmtId="0" fontId="0" fillId="0" borderId="20" xfId="0" applyBorder="1" applyAlignment="1">
      <alignment wrapText="1"/>
    </xf>
    <xf numFmtId="0" fontId="0" fillId="0" borderId="20" xfId="0" applyBorder="1" applyAlignment="1">
      <alignment horizontal="left" wrapText="1"/>
    </xf>
    <xf numFmtId="0" fontId="0" fillId="0" borderId="20" xfId="0" applyBorder="1"/>
    <xf numFmtId="164" fontId="0" fillId="4" borderId="19" xfId="1" applyNumberFormat="1" applyFont="1" applyFill="1" applyBorder="1" applyAlignment="1">
      <alignment horizontal="center" vertical="center" wrapText="1"/>
    </xf>
    <xf numFmtId="164" fontId="0" fillId="3" borderId="28" xfId="1" applyNumberFormat="1" applyFont="1" applyFill="1" applyBorder="1" applyAlignment="1">
      <alignment horizontal="center" vertical="center" wrapText="1"/>
    </xf>
    <xf numFmtId="164" fontId="0" fillId="4" borderId="13" xfId="1" applyNumberFormat="1" applyFont="1" applyFill="1" applyBorder="1" applyAlignment="1">
      <alignment horizontal="center" vertical="center" wrapText="1"/>
    </xf>
    <xf numFmtId="164" fontId="0" fillId="3" borderId="31" xfId="1" applyNumberFormat="1" applyFont="1" applyFill="1" applyBorder="1" applyAlignment="1">
      <alignment horizontal="center" vertical="center" wrapText="1"/>
    </xf>
    <xf numFmtId="164" fontId="0" fillId="4" borderId="9" xfId="1" applyNumberFormat="1" applyFont="1" applyFill="1" applyBorder="1" applyAlignment="1">
      <alignment horizontal="center" vertical="center" wrapText="1"/>
    </xf>
    <xf numFmtId="164" fontId="0" fillId="2" borderId="9" xfId="1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164" fontId="0" fillId="4" borderId="6" xfId="1" applyNumberFormat="1" applyFont="1" applyFill="1" applyBorder="1" applyAlignment="1">
      <alignment horizontal="center" vertical="center" wrapText="1"/>
    </xf>
    <xf numFmtId="164" fontId="0" fillId="4" borderId="10" xfId="1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9" fontId="0" fillId="3" borderId="8" xfId="0" applyNumberFormat="1" applyFill="1" applyBorder="1" applyAlignment="1">
      <alignment vertical="center" wrapText="1"/>
    </xf>
    <xf numFmtId="164" fontId="0" fillId="4" borderId="2" xfId="1" applyNumberFormat="1" applyFont="1" applyFill="1" applyBorder="1" applyAlignment="1">
      <alignment horizontal="center" vertical="center" wrapText="1"/>
    </xf>
    <xf numFmtId="9" fontId="0" fillId="0" borderId="8" xfId="0" applyNumberFormat="1" applyBorder="1" applyAlignment="1">
      <alignment vertical="center" wrapText="1"/>
    </xf>
    <xf numFmtId="44" fontId="0" fillId="4" borderId="10" xfId="1" applyFont="1" applyFill="1" applyBorder="1" applyAlignment="1">
      <alignment horizontal="center" vertical="center" wrapText="1"/>
    </xf>
    <xf numFmtId="44" fontId="0" fillId="0" borderId="0" xfId="0" applyNumberFormat="1" applyAlignment="1">
      <alignment horizontal="center"/>
    </xf>
    <xf numFmtId="0" fontId="2" fillId="0" borderId="6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164" fontId="0" fillId="3" borderId="17" xfId="1" applyNumberFormat="1" applyFont="1" applyFill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164" fontId="0" fillId="3" borderId="18" xfId="1" applyNumberFormat="1" applyFont="1" applyFill="1" applyBorder="1" applyAlignment="1">
      <alignment vertical="center" wrapText="1"/>
    </xf>
    <xf numFmtId="164" fontId="0" fillId="3" borderId="24" xfId="1" applyNumberFormat="1" applyFont="1" applyFill="1" applyBorder="1" applyAlignment="1">
      <alignment vertical="center" wrapText="1"/>
    </xf>
    <xf numFmtId="164" fontId="0" fillId="3" borderId="19" xfId="1" applyNumberFormat="1" applyFont="1" applyFill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164" fontId="0" fillId="4" borderId="6" xfId="1" applyNumberFormat="1" applyFont="1" applyFill="1" applyBorder="1" applyAlignment="1">
      <alignment vertical="center" wrapText="1"/>
    </xf>
    <xf numFmtId="168" fontId="7" fillId="3" borderId="2" xfId="3" applyNumberFormat="1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6" fillId="0" borderId="0" xfId="0" applyFont="1"/>
    <xf numFmtId="0" fontId="0" fillId="0" borderId="12" xfId="0" applyBorder="1" applyAlignment="1">
      <alignment vertical="center" wrapText="1"/>
    </xf>
    <xf numFmtId="44" fontId="0" fillId="3" borderId="18" xfId="1" applyFont="1" applyFill="1" applyBorder="1" applyAlignment="1">
      <alignment vertical="center" wrapText="1"/>
    </xf>
    <xf numFmtId="0" fontId="2" fillId="0" borderId="11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44" fontId="2" fillId="0" borderId="11" xfId="1" applyFont="1" applyBorder="1" applyAlignment="1">
      <alignment horizontal="center"/>
    </xf>
    <xf numFmtId="44" fontId="2" fillId="0" borderId="36" xfId="1" applyFont="1" applyBorder="1" applyAlignment="1">
      <alignment horizontal="center"/>
    </xf>
    <xf numFmtId="44" fontId="2" fillId="0" borderId="32" xfId="1" applyFont="1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39" xfId="0" applyBorder="1" applyAlignment="1">
      <alignment horizontal="center" wrapText="1"/>
    </xf>
    <xf numFmtId="0" fontId="0" fillId="0" borderId="12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5" xfId="0" applyBorder="1" applyAlignment="1">
      <alignment horizontal="left" wrapText="1"/>
    </xf>
    <xf numFmtId="0" fontId="0" fillId="0" borderId="20" xfId="0" applyBorder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2" fillId="0" borderId="4" xfId="0" applyFont="1" applyBorder="1" applyAlignment="1">
      <alignment horizontal="center" wrapText="1"/>
    </xf>
    <xf numFmtId="0" fontId="2" fillId="0" borderId="39" xfId="0" applyFont="1" applyBorder="1" applyAlignment="1">
      <alignment horizontal="center" wrapText="1"/>
    </xf>
    <xf numFmtId="168" fontId="0" fillId="3" borderId="7" xfId="3" applyNumberFormat="1" applyFont="1" applyFill="1" applyBorder="1" applyAlignment="1">
      <alignment horizontal="center" vertical="center" wrapText="1"/>
    </xf>
    <xf numFmtId="168" fontId="0" fillId="3" borderId="8" xfId="3" applyNumberFormat="1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0" fillId="0" borderId="4" xfId="0" applyBorder="1" applyAlignment="1">
      <alignment horizontal="left" wrapText="1"/>
    </xf>
    <xf numFmtId="0" fontId="0" fillId="0" borderId="39" xfId="0" applyBorder="1" applyAlignment="1">
      <alignment horizontal="left" wrapText="1"/>
    </xf>
    <xf numFmtId="0" fontId="2" fillId="0" borderId="16" xfId="0" applyFont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168" fontId="0" fillId="3" borderId="21" xfId="3" applyNumberFormat="1" applyFont="1" applyFill="1" applyBorder="1" applyAlignment="1">
      <alignment horizontal="center" vertical="center" wrapText="1"/>
    </xf>
    <xf numFmtId="0" fontId="0" fillId="0" borderId="13" xfId="0" applyBorder="1" applyAlignment="1">
      <alignment horizontal="left"/>
    </xf>
    <xf numFmtId="0" fontId="0" fillId="0" borderId="31" xfId="0" applyBorder="1" applyAlignment="1">
      <alignment horizontal="left"/>
    </xf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heryl Talbert" id="{D3D8965D-7119-4243-A402-515AD52DC9F9}" userId="b115bbae14a421b1" providerId="Windows Live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4" dT="2025-11-27T15:59:02.54" personId="{D3D8965D-7119-4243-A402-515AD52DC9F9}" id="{BF71E970-37B9-47E3-9212-2AACDA72A082}">
    <text>Rental vans shared over the group, plus gas</text>
  </threadedComment>
  <threadedComment ref="D6" dT="2025-11-24T16:22:19.82" personId="{D3D8965D-7119-4243-A402-515AD52DC9F9}" id="{A8007AA0-53CA-4847-9512-A7EE60242460}">
    <text>Rental of 2 vans from 2/11 to 2/25, Queenstown to Queenstown, spread over 12 people, plus gas</text>
  </threadedComment>
  <threadedComment ref="D11" dT="2025-11-24T16:21:16.20" personId="{D3D8965D-7119-4243-A402-515AD52DC9F9}" id="{9FD43928-5E5A-4B75-8FB7-85BB3D9C28D8}">
    <text>Includes Milford cruise purchased through Tracknet</text>
  </threadedComment>
  <threadedComment ref="C15" dT="2025-11-23T19:45:30.53" personId="{D3D8965D-7119-4243-A402-515AD52DC9F9}" id="{226C32EB-9EC8-4495-98F7-424C999B5634}">
    <text xml:space="preserve">555 Motel Dunedin
</text>
  </threadedComment>
  <threadedComment ref="F16" dT="2025-11-27T16:00:21.26" personId="{D3D8965D-7119-4243-A402-515AD52DC9F9}" id="{54083BC6-3615-4C2C-93EC-842C848E6772}">
    <text>Entry fees for Royal Albatross colony and either penguin sanctuary or sunset blue penguin walk</text>
  </threadedComment>
  <threadedComment ref="C17" dT="2025-11-23T19:51:01.10" personId="{D3D8965D-7119-4243-A402-515AD52DC9F9}" id="{1C6245BD-451B-49DB-BBE9-0B31D415C8D4}">
    <text xml:space="preserve">Last Light Lodge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5"/>
  <sheetViews>
    <sheetView topLeftCell="B1" workbookViewId="0">
      <selection activeCell="M5" sqref="M5"/>
    </sheetView>
  </sheetViews>
  <sheetFormatPr defaultRowHeight="14.4" x14ac:dyDescent="0.3"/>
  <cols>
    <col min="1" max="1" width="25.88671875" customWidth="1"/>
    <col min="2" max="2" width="71.44140625" customWidth="1"/>
    <col min="3" max="6" width="9.88671875" customWidth="1"/>
    <col min="8" max="8" width="24.6640625" customWidth="1"/>
    <col min="9" max="9" width="46.5546875" customWidth="1"/>
    <col min="10" max="10" width="12" bestFit="1" customWidth="1"/>
    <col min="11" max="12" width="12.44140625" customWidth="1"/>
  </cols>
  <sheetData>
    <row r="1" spans="1:14" s="69" customFormat="1" ht="24" thickBot="1" x14ac:dyDescent="0.5">
      <c r="A1" s="65" t="s">
        <v>109</v>
      </c>
      <c r="B1"/>
      <c r="C1" s="162" t="s">
        <v>58</v>
      </c>
      <c r="D1" s="163"/>
      <c r="E1" s="163"/>
      <c r="F1" s="164"/>
      <c r="G1" s="66">
        <v>0.72</v>
      </c>
      <c r="H1" s="67" t="s">
        <v>59</v>
      </c>
      <c r="I1" s="68"/>
      <c r="J1" s="165" t="s">
        <v>58</v>
      </c>
      <c r="K1" s="166" t="s">
        <v>60</v>
      </c>
      <c r="L1" s="166"/>
      <c r="M1" s="167"/>
    </row>
    <row r="2" spans="1:14" ht="15" thickBot="1" x14ac:dyDescent="0.35">
      <c r="A2" s="70" t="s">
        <v>38</v>
      </c>
      <c r="B2" s="71" t="s">
        <v>61</v>
      </c>
      <c r="C2" s="72" t="s">
        <v>25</v>
      </c>
      <c r="D2" s="73" t="s">
        <v>24</v>
      </c>
      <c r="E2" s="73" t="s">
        <v>23</v>
      </c>
      <c r="F2" s="74" t="s">
        <v>39</v>
      </c>
      <c r="H2" s="75" t="s">
        <v>62</v>
      </c>
      <c r="I2" s="76" t="s">
        <v>61</v>
      </c>
      <c r="J2" s="77" t="s">
        <v>63</v>
      </c>
      <c r="K2" s="78" t="s">
        <v>64</v>
      </c>
      <c r="L2" s="78" t="s">
        <v>65</v>
      </c>
      <c r="M2" s="79" t="s">
        <v>66</v>
      </c>
    </row>
    <row r="3" spans="1:14" s="85" customFormat="1" ht="28.8" x14ac:dyDescent="0.35">
      <c r="A3" s="80">
        <v>46425</v>
      </c>
      <c r="B3" s="81" t="s">
        <v>67</v>
      </c>
      <c r="C3" s="82"/>
      <c r="D3" s="82"/>
      <c r="E3" s="83"/>
      <c r="F3" s="84"/>
      <c r="H3" s="86">
        <v>46419</v>
      </c>
      <c r="I3" s="87" t="s">
        <v>68</v>
      </c>
      <c r="J3" s="88">
        <v>80</v>
      </c>
      <c r="K3" s="88"/>
      <c r="L3" s="88">
        <v>60</v>
      </c>
      <c r="M3" s="89"/>
    </row>
    <row r="4" spans="1:14" s="17" customFormat="1" ht="28.8" x14ac:dyDescent="0.3">
      <c r="A4" s="80">
        <v>46427</v>
      </c>
      <c r="B4" s="160" t="s">
        <v>114</v>
      </c>
      <c r="C4" s="90">
        <v>60</v>
      </c>
      <c r="D4" s="90"/>
      <c r="E4" s="91">
        <f>162*G1</f>
        <v>116.64</v>
      </c>
      <c r="F4" s="92"/>
      <c r="H4" s="93">
        <f>H3+1</f>
        <v>46420</v>
      </c>
      <c r="I4" s="94" t="s">
        <v>113</v>
      </c>
      <c r="J4" s="95">
        <v>80</v>
      </c>
      <c r="K4" s="95">
        <v>150</v>
      </c>
      <c r="L4" s="95"/>
      <c r="M4" s="96">
        <v>160</v>
      </c>
    </row>
    <row r="5" spans="1:14" s="17" customFormat="1" ht="43.2" x14ac:dyDescent="0.3">
      <c r="A5" s="97">
        <f t="shared" ref="A5:A21" si="0">A4+1</f>
        <v>46428</v>
      </c>
      <c r="B5" s="160" t="s">
        <v>110</v>
      </c>
      <c r="C5" s="90">
        <v>60</v>
      </c>
      <c r="D5" s="90"/>
      <c r="E5" s="90"/>
      <c r="F5" s="92"/>
      <c r="H5" s="93">
        <f t="shared" ref="H5:H11" si="1">H4+1</f>
        <v>46421</v>
      </c>
      <c r="I5" s="98" t="s">
        <v>69</v>
      </c>
      <c r="J5" s="99">
        <v>60</v>
      </c>
      <c r="K5" s="99"/>
      <c r="L5" s="99"/>
      <c r="M5" s="100">
        <v>25</v>
      </c>
    </row>
    <row r="6" spans="1:14" ht="28.8" x14ac:dyDescent="0.3">
      <c r="A6" s="97">
        <f t="shared" si="0"/>
        <v>46429</v>
      </c>
      <c r="B6" s="101" t="s">
        <v>70</v>
      </c>
      <c r="C6" s="90">
        <v>70</v>
      </c>
      <c r="D6" s="90">
        <f>2600/B23+50</f>
        <v>266.66666666666663</v>
      </c>
      <c r="E6" s="90"/>
      <c r="F6" s="92"/>
      <c r="G6" s="102"/>
      <c r="H6" s="93">
        <f t="shared" si="1"/>
        <v>46422</v>
      </c>
      <c r="I6" s="98" t="s">
        <v>71</v>
      </c>
      <c r="J6" s="99">
        <v>15</v>
      </c>
      <c r="K6" s="99"/>
      <c r="L6" s="99"/>
      <c r="M6" s="100"/>
      <c r="N6" s="103"/>
    </row>
    <row r="7" spans="1:14" ht="32.4" customHeight="1" x14ac:dyDescent="0.3">
      <c r="A7" s="97">
        <f t="shared" si="0"/>
        <v>46430</v>
      </c>
      <c r="B7" s="101" t="s">
        <v>72</v>
      </c>
      <c r="C7" s="90">
        <f>132*G1</f>
        <v>95.039999999999992</v>
      </c>
      <c r="D7" s="90">
        <f>30*G1</f>
        <v>21.599999999999998</v>
      </c>
      <c r="E7" s="90"/>
      <c r="F7" s="92"/>
      <c r="H7" s="93">
        <f t="shared" si="1"/>
        <v>46423</v>
      </c>
      <c r="I7" s="98" t="s">
        <v>73</v>
      </c>
      <c r="J7" s="99">
        <f>J6</f>
        <v>15</v>
      </c>
      <c r="K7" s="99"/>
      <c r="L7" s="99"/>
      <c r="M7" s="100"/>
    </row>
    <row r="8" spans="1:14" ht="28.8" x14ac:dyDescent="0.3">
      <c r="A8" s="97">
        <f t="shared" si="0"/>
        <v>46431</v>
      </c>
      <c r="B8" s="101" t="s">
        <v>74</v>
      </c>
      <c r="C8" s="90">
        <f>C7</f>
        <v>95.039999999999992</v>
      </c>
      <c r="D8" s="90"/>
      <c r="E8" s="90"/>
      <c r="F8" s="92"/>
      <c r="H8" s="93">
        <f t="shared" si="1"/>
        <v>46424</v>
      </c>
      <c r="I8" s="98" t="s">
        <v>75</v>
      </c>
      <c r="J8" s="99">
        <f>J7</f>
        <v>15</v>
      </c>
      <c r="K8" s="99"/>
      <c r="L8" s="99"/>
      <c r="M8" s="100"/>
    </row>
    <row r="9" spans="1:14" ht="28.8" x14ac:dyDescent="0.3">
      <c r="A9" s="97">
        <f t="shared" si="0"/>
        <v>46432</v>
      </c>
      <c r="B9" s="101" t="s">
        <v>76</v>
      </c>
      <c r="C9" s="90">
        <v>70</v>
      </c>
      <c r="D9" s="90"/>
      <c r="E9" s="90"/>
      <c r="F9" s="92"/>
      <c r="H9" s="93">
        <f t="shared" si="1"/>
        <v>46425</v>
      </c>
      <c r="I9" s="98" t="s">
        <v>77</v>
      </c>
      <c r="J9" s="99">
        <v>60</v>
      </c>
      <c r="K9" s="99"/>
      <c r="L9" s="99"/>
      <c r="M9" s="100"/>
    </row>
    <row r="10" spans="1:14" ht="28.8" x14ac:dyDescent="0.3">
      <c r="A10" s="97">
        <f t="shared" si="0"/>
        <v>46433</v>
      </c>
      <c r="B10" s="101" t="s">
        <v>78</v>
      </c>
      <c r="C10" s="90">
        <v>70</v>
      </c>
      <c r="D10" s="90"/>
      <c r="E10" s="90"/>
      <c r="F10" s="92"/>
      <c r="H10" s="93">
        <f t="shared" si="1"/>
        <v>46426</v>
      </c>
      <c r="I10" s="98" t="s">
        <v>79</v>
      </c>
      <c r="J10" s="104">
        <v>80</v>
      </c>
      <c r="K10" s="90"/>
      <c r="L10" s="90"/>
      <c r="M10" s="92"/>
    </row>
    <row r="11" spans="1:14" ht="23.4" customHeight="1" thickBot="1" x14ac:dyDescent="0.35">
      <c r="A11" s="97">
        <f t="shared" si="0"/>
        <v>46434</v>
      </c>
      <c r="B11" s="101" t="s">
        <v>80</v>
      </c>
      <c r="C11" s="90">
        <f>152*G1</f>
        <v>109.44</v>
      </c>
      <c r="D11" s="90">
        <f>342*G1</f>
        <v>246.23999999999998</v>
      </c>
      <c r="E11" s="90"/>
      <c r="F11" s="92"/>
      <c r="H11" s="105">
        <f t="shared" si="1"/>
        <v>46427</v>
      </c>
      <c r="I11" s="106" t="s">
        <v>81</v>
      </c>
      <c r="J11" s="107"/>
      <c r="K11" s="107"/>
      <c r="L11" s="107"/>
      <c r="M11" s="108"/>
    </row>
    <row r="12" spans="1:14" ht="23.4" customHeight="1" x14ac:dyDescent="0.3">
      <c r="A12" s="97">
        <f t="shared" si="0"/>
        <v>46435</v>
      </c>
      <c r="B12" s="101" t="s">
        <v>82</v>
      </c>
      <c r="C12" s="90">
        <f>C11</f>
        <v>109.44</v>
      </c>
      <c r="D12" s="90"/>
      <c r="E12" s="90"/>
      <c r="F12" s="92"/>
      <c r="H12" s="36"/>
      <c r="I12" s="109"/>
      <c r="J12" s="37"/>
      <c r="K12" s="37"/>
      <c r="L12" s="37"/>
      <c r="M12" s="37"/>
    </row>
    <row r="13" spans="1:14" ht="23.4" customHeight="1" x14ac:dyDescent="0.3">
      <c r="A13" s="97">
        <f t="shared" si="0"/>
        <v>46436</v>
      </c>
      <c r="B13" s="101" t="s">
        <v>83</v>
      </c>
      <c r="C13" s="90">
        <f>C12</f>
        <v>109.44</v>
      </c>
      <c r="D13" s="90"/>
      <c r="E13" s="90"/>
      <c r="F13" s="92"/>
      <c r="H13" s="110"/>
      <c r="I13" s="111"/>
      <c r="J13" s="37">
        <f>SUM(J3:J11)</f>
        <v>405</v>
      </c>
      <c r="K13" s="37">
        <f t="shared" ref="K13:L13" si="2">SUM(K3:K11)</f>
        <v>150</v>
      </c>
      <c r="L13" s="37">
        <f t="shared" si="2"/>
        <v>60</v>
      </c>
      <c r="M13" s="37">
        <f t="shared" ref="M13" si="3">SUM(M3:M11)</f>
        <v>185</v>
      </c>
    </row>
    <row r="14" spans="1:14" ht="23.4" customHeight="1" x14ac:dyDescent="0.3">
      <c r="A14" s="97">
        <f t="shared" si="0"/>
        <v>46437</v>
      </c>
      <c r="B14" s="101" t="s">
        <v>84</v>
      </c>
      <c r="C14" s="90">
        <f>C13</f>
        <v>109.44</v>
      </c>
      <c r="D14" s="90"/>
      <c r="E14" s="90"/>
      <c r="F14" s="92"/>
      <c r="H14" s="36"/>
      <c r="I14" s="112">
        <f>8</f>
        <v>8</v>
      </c>
      <c r="J14" s="37">
        <f>J13*$I14</f>
        <v>3240</v>
      </c>
      <c r="K14" s="37">
        <f t="shared" ref="K14:L14" si="4">K13*$I14</f>
        <v>1200</v>
      </c>
      <c r="L14" s="37">
        <f t="shared" si="4"/>
        <v>480</v>
      </c>
      <c r="M14" s="37">
        <f t="shared" ref="M14" si="5">M13*$I14</f>
        <v>1480</v>
      </c>
    </row>
    <row r="15" spans="1:14" ht="21" customHeight="1" x14ac:dyDescent="0.3">
      <c r="A15" s="97">
        <f t="shared" si="0"/>
        <v>46438</v>
      </c>
      <c r="B15" s="101" t="s">
        <v>85</v>
      </c>
      <c r="C15" s="90">
        <f>235/3</f>
        <v>78.333333333333329</v>
      </c>
      <c r="D15" s="90"/>
      <c r="E15" s="90"/>
      <c r="F15" s="92"/>
      <c r="H15" s="39"/>
      <c r="I15" s="109"/>
      <c r="J15" s="37"/>
      <c r="K15" s="37"/>
      <c r="L15" s="37"/>
      <c r="M15" s="37"/>
    </row>
    <row r="16" spans="1:14" ht="30.6" customHeight="1" x14ac:dyDescent="0.3">
      <c r="A16" s="97">
        <f t="shared" si="0"/>
        <v>46439</v>
      </c>
      <c r="B16" s="101" t="s">
        <v>112</v>
      </c>
      <c r="C16" s="90">
        <f>C15</f>
        <v>78.333333333333329</v>
      </c>
      <c r="D16" s="90"/>
      <c r="E16" s="90"/>
      <c r="F16" s="92">
        <f>(78.91+65)*G1</f>
        <v>103.61519999999999</v>
      </c>
      <c r="I16" s="109"/>
      <c r="J16" s="37"/>
      <c r="K16" s="37"/>
      <c r="L16" s="37"/>
      <c r="M16" s="37"/>
    </row>
    <row r="17" spans="1:9" ht="31.2" customHeight="1" x14ac:dyDescent="0.3">
      <c r="A17" s="97">
        <f t="shared" si="0"/>
        <v>46440</v>
      </c>
      <c r="B17" s="101" t="s">
        <v>111</v>
      </c>
      <c r="C17" s="90">
        <v>50</v>
      </c>
      <c r="D17" s="90"/>
      <c r="E17" s="90"/>
      <c r="F17" s="92"/>
      <c r="H17" s="10"/>
    </row>
    <row r="18" spans="1:9" ht="22.2" customHeight="1" x14ac:dyDescent="0.3">
      <c r="A18" s="97">
        <f t="shared" si="0"/>
        <v>46441</v>
      </c>
      <c r="B18" s="101" t="s">
        <v>86</v>
      </c>
      <c r="C18" s="90">
        <f>(445+495)*G1/2</f>
        <v>338.4</v>
      </c>
      <c r="D18" s="90"/>
      <c r="E18" s="90"/>
      <c r="F18" s="92"/>
      <c r="H18" s="109"/>
      <c r="I18" s="15"/>
    </row>
    <row r="19" spans="1:9" ht="31.8" customHeight="1" x14ac:dyDescent="0.3">
      <c r="A19" s="97">
        <f t="shared" si="0"/>
        <v>46442</v>
      </c>
      <c r="B19" s="101" t="s">
        <v>87</v>
      </c>
      <c r="C19" s="90"/>
      <c r="D19" s="90"/>
      <c r="E19" s="90"/>
      <c r="F19" s="92"/>
      <c r="H19" s="109"/>
    </row>
    <row r="20" spans="1:9" ht="18.600000000000001" customHeight="1" x14ac:dyDescent="0.3">
      <c r="A20" s="97">
        <f t="shared" si="0"/>
        <v>46443</v>
      </c>
      <c r="B20" s="101" t="s">
        <v>88</v>
      </c>
      <c r="C20" s="90">
        <v>80</v>
      </c>
      <c r="D20" s="90"/>
      <c r="E20" s="90">
        <v>60</v>
      </c>
      <c r="F20" s="92"/>
      <c r="H20" s="109"/>
    </row>
    <row r="21" spans="1:9" ht="18.600000000000001" customHeight="1" x14ac:dyDescent="0.3">
      <c r="A21" s="97">
        <f t="shared" si="0"/>
        <v>46444</v>
      </c>
      <c r="B21" s="101" t="s">
        <v>89</v>
      </c>
      <c r="C21" s="90"/>
      <c r="D21" s="90"/>
      <c r="E21" s="90"/>
      <c r="F21" s="92"/>
      <c r="H21" s="109"/>
    </row>
    <row r="22" spans="1:9" x14ac:dyDescent="0.3">
      <c r="B22" s="36" t="s">
        <v>90</v>
      </c>
      <c r="C22" s="37">
        <f>SUM(C3:C21)</f>
        <v>1582.9066666666668</v>
      </c>
      <c r="D22" s="37">
        <f t="shared" ref="D22:E22" si="6">SUM(D3:D21)</f>
        <v>534.50666666666666</v>
      </c>
      <c r="E22" s="37">
        <f t="shared" si="6"/>
        <v>176.64</v>
      </c>
      <c r="F22" s="37">
        <f t="shared" ref="F22" si="7">SUM(F3:F21)</f>
        <v>103.61519999999999</v>
      </c>
      <c r="H22" s="109"/>
    </row>
    <row r="23" spans="1:9" x14ac:dyDescent="0.3">
      <c r="B23" s="113">
        <v>12</v>
      </c>
      <c r="C23" s="114">
        <f>C22*$B23</f>
        <v>18994.88</v>
      </c>
      <c r="D23" s="114">
        <f t="shared" ref="D23:E23" si="8">D22*$B23</f>
        <v>6414.08</v>
      </c>
      <c r="E23" s="114">
        <f t="shared" si="8"/>
        <v>2119.6799999999998</v>
      </c>
      <c r="F23" s="114">
        <f t="shared" ref="F23" si="9">F22*$B23</f>
        <v>1243.3824</v>
      </c>
      <c r="H23" s="109"/>
    </row>
    <row r="25" spans="1:9" x14ac:dyDescent="0.3">
      <c r="H25" s="10"/>
    </row>
  </sheetData>
  <mergeCells count="2">
    <mergeCell ref="C1:F1"/>
    <mergeCell ref="J1:M1"/>
  </mergeCells>
  <pageMargins left="0.7" right="0.7" top="0.75" bottom="0.75" header="0.3" footer="0.3"/>
  <pageSetup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7529D-6773-4E81-86F9-80C8626A895A}">
  <dimension ref="A1:F35"/>
  <sheetViews>
    <sheetView workbookViewId="0">
      <selection activeCell="C4" sqref="C4"/>
    </sheetView>
  </sheetViews>
  <sheetFormatPr defaultRowHeight="14.4" x14ac:dyDescent="0.3"/>
  <cols>
    <col min="1" max="1" width="24.33203125" bestFit="1" customWidth="1"/>
    <col min="2" max="2" width="35.109375" bestFit="1" customWidth="1"/>
    <col min="3" max="3" width="26.5546875" bestFit="1" customWidth="1"/>
    <col min="4" max="4" width="26" bestFit="1" customWidth="1"/>
    <col min="5" max="5" width="36" bestFit="1" customWidth="1"/>
    <col min="6" max="6" width="30.77734375" bestFit="1" customWidth="1"/>
  </cols>
  <sheetData>
    <row r="1" spans="1:6" ht="21.6" thickBot="1" x14ac:dyDescent="0.45">
      <c r="A1" s="33" t="s">
        <v>108</v>
      </c>
    </row>
    <row r="2" spans="1:6" ht="43.8" thickBot="1" x14ac:dyDescent="0.35">
      <c r="A2" s="38"/>
      <c r="B2" s="57" t="s">
        <v>44</v>
      </c>
      <c r="C2" s="168" t="s">
        <v>45</v>
      </c>
      <c r="D2" s="169"/>
      <c r="E2" s="170"/>
      <c r="F2" s="58" t="s">
        <v>46</v>
      </c>
    </row>
    <row r="3" spans="1:6" ht="15" thickBot="1" x14ac:dyDescent="0.35">
      <c r="A3" s="40" t="s">
        <v>47</v>
      </c>
      <c r="B3" s="34" t="s">
        <v>48</v>
      </c>
      <c r="C3" s="34" t="s">
        <v>49</v>
      </c>
      <c r="D3" s="34" t="s">
        <v>50</v>
      </c>
      <c r="E3" s="35" t="s">
        <v>51</v>
      </c>
      <c r="F3" s="59" t="s">
        <v>52</v>
      </c>
    </row>
    <row r="4" spans="1:6" x14ac:dyDescent="0.3">
      <c r="A4" s="41" t="s">
        <v>57</v>
      </c>
      <c r="B4" s="42">
        <v>1</v>
      </c>
      <c r="C4" s="43">
        <v>1400</v>
      </c>
      <c r="D4" s="43"/>
      <c r="E4" s="44">
        <f>SUM(C4:D4)</f>
        <v>1400</v>
      </c>
      <c r="F4" s="60" t="s">
        <v>104</v>
      </c>
    </row>
    <row r="5" spans="1:6" x14ac:dyDescent="0.3">
      <c r="A5" s="45"/>
      <c r="B5" s="46"/>
      <c r="C5" s="47"/>
      <c r="D5" s="47"/>
      <c r="E5" s="48">
        <v>0</v>
      </c>
      <c r="F5" s="61"/>
    </row>
    <row r="6" spans="1:6" x14ac:dyDescent="0.3">
      <c r="A6" s="45"/>
      <c r="B6" s="46"/>
      <c r="C6" s="47"/>
      <c r="D6" s="47"/>
      <c r="E6" s="48">
        <v>0</v>
      </c>
      <c r="F6" s="61"/>
    </row>
    <row r="7" spans="1:6" x14ac:dyDescent="0.3">
      <c r="A7" s="45"/>
      <c r="B7" s="46"/>
      <c r="C7" s="47"/>
      <c r="D7" s="47"/>
      <c r="E7" s="48">
        <v>0</v>
      </c>
      <c r="F7" s="62"/>
    </row>
    <row r="8" spans="1:6" x14ac:dyDescent="0.3">
      <c r="A8" s="45"/>
      <c r="B8" s="46"/>
      <c r="C8" s="47"/>
      <c r="D8" s="47"/>
      <c r="E8" s="48">
        <v>0</v>
      </c>
      <c r="F8" s="61"/>
    </row>
    <row r="9" spans="1:6" x14ac:dyDescent="0.3">
      <c r="A9" s="45"/>
      <c r="B9" s="46"/>
      <c r="C9" s="47"/>
      <c r="D9" s="47"/>
      <c r="E9" s="48">
        <v>0</v>
      </c>
      <c r="F9" s="61"/>
    </row>
    <row r="10" spans="1:6" x14ac:dyDescent="0.3">
      <c r="A10" s="45"/>
      <c r="B10" s="46"/>
      <c r="C10" s="47"/>
      <c r="D10" s="47"/>
      <c r="E10" s="48">
        <v>0</v>
      </c>
      <c r="F10" s="61"/>
    </row>
    <row r="11" spans="1:6" x14ac:dyDescent="0.3">
      <c r="A11" s="45"/>
      <c r="B11" s="46"/>
      <c r="C11" s="47"/>
      <c r="D11" s="47"/>
      <c r="E11" s="48">
        <v>0</v>
      </c>
      <c r="F11" s="61"/>
    </row>
    <row r="12" spans="1:6" x14ac:dyDescent="0.3">
      <c r="A12" s="45"/>
      <c r="B12" s="46"/>
      <c r="C12" s="47"/>
      <c r="D12" s="47"/>
      <c r="E12" s="48">
        <v>0</v>
      </c>
      <c r="F12" s="61"/>
    </row>
    <row r="13" spans="1:6" x14ac:dyDescent="0.3">
      <c r="A13" s="45"/>
      <c r="B13" s="46"/>
      <c r="C13" s="47"/>
      <c r="D13" s="47"/>
      <c r="E13" s="48">
        <v>0</v>
      </c>
      <c r="F13" s="61"/>
    </row>
    <row r="14" spans="1:6" x14ac:dyDescent="0.3">
      <c r="A14" s="45"/>
      <c r="B14" s="46"/>
      <c r="C14" s="47"/>
      <c r="D14" s="47"/>
      <c r="E14" s="48">
        <v>0</v>
      </c>
      <c r="F14" s="61"/>
    </row>
    <row r="15" spans="1:6" x14ac:dyDescent="0.3">
      <c r="A15" s="45"/>
      <c r="B15" s="46"/>
      <c r="C15" s="47"/>
      <c r="D15" s="47"/>
      <c r="E15" s="48">
        <v>0</v>
      </c>
      <c r="F15" s="61"/>
    </row>
    <row r="16" spans="1:6" x14ac:dyDescent="0.3">
      <c r="A16" s="45"/>
      <c r="B16" s="46"/>
      <c r="C16" s="47"/>
      <c r="D16" s="47"/>
      <c r="E16" s="48">
        <v>0</v>
      </c>
      <c r="F16" s="62"/>
    </row>
    <row r="17" spans="1:6" ht="15" thickBot="1" x14ac:dyDescent="0.35">
      <c r="A17" s="49"/>
      <c r="B17" s="50"/>
      <c r="C17" s="51"/>
      <c r="D17" s="51"/>
      <c r="E17" s="52">
        <v>0</v>
      </c>
      <c r="F17" s="63"/>
    </row>
    <row r="18" spans="1:6" x14ac:dyDescent="0.3">
      <c r="A18" s="36"/>
      <c r="B18" s="37"/>
      <c r="C18" s="37"/>
      <c r="D18" s="37"/>
      <c r="E18" s="37"/>
      <c r="F18" s="39"/>
    </row>
    <row r="19" spans="1:6" ht="15" thickBot="1" x14ac:dyDescent="0.35">
      <c r="A19" s="36"/>
      <c r="B19" s="53" t="s">
        <v>53</v>
      </c>
      <c r="C19" s="53"/>
      <c r="D19" s="53"/>
      <c r="E19" s="53" t="s">
        <v>54</v>
      </c>
      <c r="F19" s="39"/>
    </row>
    <row r="20" spans="1:6" ht="15" thickBot="1" x14ac:dyDescent="0.35">
      <c r="A20" s="13"/>
      <c r="B20" s="54">
        <v>1</v>
      </c>
      <c r="C20" s="55"/>
      <c r="D20" s="55"/>
      <c r="E20" s="56">
        <f>SUM(E4:E17)</f>
        <v>1400</v>
      </c>
      <c r="F20" s="39"/>
    </row>
    <row r="21" spans="1:6" ht="67.8" customHeight="1" x14ac:dyDescent="0.3">
      <c r="B21" s="14" t="s">
        <v>55</v>
      </c>
      <c r="C21" s="14"/>
      <c r="D21" s="14"/>
      <c r="E21" s="14" t="s">
        <v>56</v>
      </c>
    </row>
    <row r="26" spans="1:6" x14ac:dyDescent="0.3">
      <c r="F26" s="39"/>
    </row>
    <row r="27" spans="1:6" x14ac:dyDescent="0.3">
      <c r="F27" s="39"/>
    </row>
    <row r="28" spans="1:6" x14ac:dyDescent="0.3">
      <c r="F28" s="39"/>
    </row>
    <row r="29" spans="1:6" x14ac:dyDescent="0.3">
      <c r="F29" s="39"/>
    </row>
    <row r="30" spans="1:6" x14ac:dyDescent="0.3">
      <c r="F30" s="39"/>
    </row>
    <row r="31" spans="1:6" x14ac:dyDescent="0.3">
      <c r="F31" s="39"/>
    </row>
    <row r="32" spans="1:6" x14ac:dyDescent="0.3">
      <c r="F32" s="39"/>
    </row>
    <row r="35" spans="2:4" x14ac:dyDescent="0.3">
      <c r="B35" s="16"/>
      <c r="C35" s="16"/>
      <c r="D35" s="16"/>
    </row>
  </sheetData>
  <mergeCells count="1">
    <mergeCell ref="C2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72"/>
  <sheetViews>
    <sheetView tabSelected="1" topLeftCell="A27" workbookViewId="0">
      <selection activeCell="E38" sqref="E38"/>
    </sheetView>
  </sheetViews>
  <sheetFormatPr defaultRowHeight="14.4" x14ac:dyDescent="0.3"/>
  <cols>
    <col min="1" max="1" width="58.33203125" customWidth="1"/>
    <col min="2" max="2" width="11.33203125" customWidth="1"/>
    <col min="3" max="4" width="14" style="6" customWidth="1"/>
    <col min="5" max="5" width="24.33203125" customWidth="1"/>
    <col min="6" max="6" width="3.6640625" customWidth="1"/>
    <col min="7" max="8" width="14.44140625" style="6" customWidth="1"/>
    <col min="9" max="9" width="25.21875" customWidth="1"/>
    <col min="10" max="11" width="3" customWidth="1"/>
  </cols>
  <sheetData>
    <row r="1" spans="1:12" ht="37.5" customHeight="1" x14ac:dyDescent="0.55000000000000004">
      <c r="A1" s="5" t="s">
        <v>91</v>
      </c>
      <c r="B1" s="186" t="s">
        <v>21</v>
      </c>
      <c r="C1" s="186"/>
      <c r="D1" s="186"/>
      <c r="E1" s="186"/>
      <c r="F1" s="186"/>
      <c r="G1"/>
      <c r="H1"/>
    </row>
    <row r="2" spans="1:12" ht="21.75" customHeight="1" x14ac:dyDescent="0.3">
      <c r="A2" s="175" t="s">
        <v>107</v>
      </c>
      <c r="B2" s="175"/>
      <c r="C2" s="175"/>
      <c r="D2" s="175"/>
      <c r="E2" s="175"/>
      <c r="G2"/>
      <c r="H2"/>
    </row>
    <row r="3" spans="1:12" ht="21.75" customHeight="1" x14ac:dyDescent="0.3">
      <c r="A3" s="175" t="s">
        <v>92</v>
      </c>
      <c r="B3" s="175"/>
      <c r="C3" s="175"/>
      <c r="D3" s="175"/>
      <c r="E3" s="175"/>
      <c r="G3"/>
      <c r="H3"/>
    </row>
    <row r="4" spans="1:12" ht="21.75" customHeight="1" thickBot="1" x14ac:dyDescent="0.35">
      <c r="A4" s="175" t="s">
        <v>105</v>
      </c>
      <c r="B4" s="175"/>
      <c r="C4" s="175"/>
      <c r="D4" s="175"/>
      <c r="E4" s="175"/>
      <c r="G4"/>
      <c r="H4"/>
    </row>
    <row r="5" spans="1:12" ht="31.5" customHeight="1" thickBot="1" x14ac:dyDescent="0.35">
      <c r="A5" s="2"/>
      <c r="C5" s="187" t="s">
        <v>93</v>
      </c>
      <c r="D5" s="188"/>
      <c r="E5" s="115"/>
      <c r="G5" s="162" t="s">
        <v>94</v>
      </c>
      <c r="H5" s="164"/>
      <c r="I5" s="115"/>
    </row>
    <row r="6" spans="1:12" ht="30.75" customHeight="1" thickBot="1" x14ac:dyDescent="0.35">
      <c r="A6" s="184" t="s">
        <v>95</v>
      </c>
      <c r="B6" s="185"/>
      <c r="C6" s="118" t="s">
        <v>28</v>
      </c>
      <c r="D6" s="116" t="s">
        <v>26</v>
      </c>
      <c r="E6" s="117" t="s">
        <v>30</v>
      </c>
      <c r="G6" s="118" t="s">
        <v>28</v>
      </c>
      <c r="H6" s="119" t="s">
        <v>26</v>
      </c>
      <c r="I6" s="117" t="s">
        <v>30</v>
      </c>
    </row>
    <row r="7" spans="1:12" ht="18" customHeight="1" x14ac:dyDescent="0.3">
      <c r="A7" s="182" t="s">
        <v>14</v>
      </c>
      <c r="B7" s="183"/>
      <c r="C7" s="120">
        <f>D7/C$18</f>
        <v>583.09818181818184</v>
      </c>
      <c r="D7" s="121">
        <f>'Trip Cost Worksheet'!D23</f>
        <v>6414.08</v>
      </c>
      <c r="E7" s="12"/>
      <c r="G7" s="122">
        <f t="shared" ref="G7:G16" si="0">H7/G$18</f>
        <v>171.42857142857142</v>
      </c>
      <c r="H7" s="123">
        <f>'Trip Cost Worksheet'!K14</f>
        <v>1200</v>
      </c>
      <c r="I7" s="124"/>
      <c r="L7" s="10"/>
    </row>
    <row r="8" spans="1:12" ht="21" customHeight="1" x14ac:dyDescent="0.3">
      <c r="A8" s="180" t="s">
        <v>13</v>
      </c>
      <c r="B8" s="181"/>
      <c r="C8" s="125">
        <f t="shared" ref="C8:C17" si="1">D8/C$18</f>
        <v>1726.8072727272729</v>
      </c>
      <c r="D8" s="126">
        <f>'Trip Cost Worksheet'!C23</f>
        <v>18994.88</v>
      </c>
      <c r="E8" s="11"/>
      <c r="G8" s="127">
        <f t="shared" si="0"/>
        <v>462.85714285714283</v>
      </c>
      <c r="H8" s="128">
        <f>'Trip Cost Worksheet'!J14</f>
        <v>3240</v>
      </c>
      <c r="I8" s="129"/>
      <c r="L8" s="10"/>
    </row>
    <row r="9" spans="1:12" ht="20.25" customHeight="1" x14ac:dyDescent="0.3">
      <c r="A9" s="180" t="s">
        <v>12</v>
      </c>
      <c r="B9" s="181"/>
      <c r="C9" s="125">
        <f t="shared" si="1"/>
        <v>192.69818181818181</v>
      </c>
      <c r="D9" s="126">
        <f>'Trip Cost Worksheet'!E23</f>
        <v>2119.6799999999998</v>
      </c>
      <c r="E9" s="61"/>
      <c r="G9" s="127">
        <f t="shared" si="0"/>
        <v>68.571428571428569</v>
      </c>
      <c r="H9" s="128">
        <f>'Trip Cost Worksheet'!L14</f>
        <v>480</v>
      </c>
      <c r="I9" s="130"/>
      <c r="L9" s="10"/>
    </row>
    <row r="10" spans="1:12" ht="19.5" customHeight="1" x14ac:dyDescent="0.3">
      <c r="A10" s="180" t="s">
        <v>11</v>
      </c>
      <c r="B10" s="181"/>
      <c r="C10" s="125">
        <f t="shared" si="1"/>
        <v>0</v>
      </c>
      <c r="D10" s="126"/>
      <c r="E10" s="7"/>
      <c r="G10" s="127">
        <f t="shared" si="0"/>
        <v>0</v>
      </c>
      <c r="H10" s="128"/>
      <c r="I10" s="131"/>
      <c r="L10" s="10"/>
    </row>
    <row r="11" spans="1:12" ht="19.5" customHeight="1" x14ac:dyDescent="0.3">
      <c r="A11" s="180" t="s">
        <v>10</v>
      </c>
      <c r="B11" s="181"/>
      <c r="C11" s="125">
        <f t="shared" si="1"/>
        <v>0</v>
      </c>
      <c r="D11" s="126"/>
      <c r="E11" s="7"/>
      <c r="G11" s="127">
        <f t="shared" si="0"/>
        <v>0</v>
      </c>
      <c r="H11" s="128"/>
      <c r="I11" s="131"/>
      <c r="L11" s="10"/>
    </row>
    <row r="12" spans="1:12" ht="26.25" customHeight="1" x14ac:dyDescent="0.3">
      <c r="A12" s="180" t="s">
        <v>1</v>
      </c>
      <c r="B12" s="181"/>
      <c r="C12" s="125">
        <f t="shared" si="1"/>
        <v>0</v>
      </c>
      <c r="D12" s="126">
        <v>0</v>
      </c>
      <c r="E12" s="11"/>
      <c r="G12" s="127">
        <f t="shared" si="0"/>
        <v>0</v>
      </c>
      <c r="H12" s="128">
        <v>0</v>
      </c>
      <c r="I12" s="129"/>
      <c r="L12" s="10"/>
    </row>
    <row r="13" spans="1:12" ht="19.5" customHeight="1" x14ac:dyDescent="0.3">
      <c r="A13" s="180" t="s">
        <v>9</v>
      </c>
      <c r="B13" s="181"/>
      <c r="C13" s="125">
        <f t="shared" si="1"/>
        <v>0</v>
      </c>
      <c r="D13" s="126"/>
      <c r="E13" s="7"/>
      <c r="G13" s="127">
        <f t="shared" si="0"/>
        <v>0</v>
      </c>
      <c r="H13" s="128"/>
      <c r="I13" s="131"/>
      <c r="L13" s="10"/>
    </row>
    <row r="14" spans="1:12" ht="21.75" customHeight="1" x14ac:dyDescent="0.3">
      <c r="A14" s="180" t="s">
        <v>2</v>
      </c>
      <c r="B14" s="181"/>
      <c r="C14" s="125">
        <f t="shared" si="1"/>
        <v>113.03476363636364</v>
      </c>
      <c r="D14" s="126">
        <f>'Trip Cost Worksheet'!F23</f>
        <v>1243.3824</v>
      </c>
      <c r="E14" s="11"/>
      <c r="G14" s="127">
        <f t="shared" si="0"/>
        <v>211.42857142857142</v>
      </c>
      <c r="H14" s="128">
        <f>'Trip Cost Worksheet'!M14</f>
        <v>1480</v>
      </c>
      <c r="I14" s="129"/>
      <c r="L14" s="10"/>
    </row>
    <row r="15" spans="1:12" ht="19.5" customHeight="1" x14ac:dyDescent="0.3">
      <c r="A15" s="180" t="s">
        <v>17</v>
      </c>
      <c r="B15" s="181"/>
      <c r="C15" s="125">
        <f t="shared" si="1"/>
        <v>0</v>
      </c>
      <c r="D15" s="126"/>
      <c r="E15" s="7"/>
      <c r="G15" s="127">
        <f t="shared" si="0"/>
        <v>0</v>
      </c>
      <c r="H15" s="128"/>
      <c r="I15" s="131"/>
      <c r="L15" s="10"/>
    </row>
    <row r="16" spans="1:12" x14ac:dyDescent="0.3">
      <c r="A16" s="180" t="s">
        <v>4</v>
      </c>
      <c r="B16" s="181"/>
      <c r="C16" s="125">
        <f t="shared" si="1"/>
        <v>0</v>
      </c>
      <c r="D16" s="126"/>
      <c r="E16" s="11"/>
      <c r="G16" s="127">
        <f t="shared" si="0"/>
        <v>0</v>
      </c>
      <c r="H16" s="128"/>
      <c r="I16" s="129"/>
      <c r="L16" s="10"/>
    </row>
    <row r="17" spans="1:12" ht="19.5" customHeight="1" thickBot="1" x14ac:dyDescent="0.35">
      <c r="A17" s="176" t="s">
        <v>18</v>
      </c>
      <c r="B17" s="177"/>
      <c r="C17" s="132">
        <f t="shared" si="1"/>
        <v>127.27272727272727</v>
      </c>
      <c r="D17" s="133">
        <f>'Leader Costs'!E20</f>
        <v>1400</v>
      </c>
      <c r="E17" s="7" t="s">
        <v>96</v>
      </c>
      <c r="G17" s="134">
        <f>H17/G$18</f>
        <v>0</v>
      </c>
      <c r="H17" s="135"/>
      <c r="I17" s="131"/>
      <c r="L17" s="10"/>
    </row>
    <row r="18" spans="1:12" ht="18.75" customHeight="1" thickBot="1" x14ac:dyDescent="0.35">
      <c r="A18" s="197" t="s">
        <v>29</v>
      </c>
      <c r="B18" s="198"/>
      <c r="C18" s="189">
        <f>'Trip Cost Worksheet'!B23-1</f>
        <v>11</v>
      </c>
      <c r="D18" s="199"/>
      <c r="E18" s="11"/>
      <c r="G18" s="189">
        <f>'Trip Cost Worksheet'!I14-1</f>
        <v>7</v>
      </c>
      <c r="H18" s="190"/>
      <c r="I18" s="11"/>
    </row>
    <row r="19" spans="1:12" ht="18.75" customHeight="1" thickBot="1" x14ac:dyDescent="0.35">
      <c r="A19" s="191" t="s">
        <v>97</v>
      </c>
      <c r="B19" s="192"/>
      <c r="C19" s="136"/>
      <c r="D19" s="137"/>
      <c r="E19" s="7"/>
      <c r="G19" s="136"/>
      <c r="H19" s="137"/>
      <c r="I19" s="7"/>
    </row>
    <row r="20" spans="1:12" ht="18.75" customHeight="1" thickBot="1" x14ac:dyDescent="0.35">
      <c r="A20" s="138" t="s">
        <v>19</v>
      </c>
      <c r="B20" s="139"/>
      <c r="C20" s="140">
        <f>SUM(C7:C17,C19)</f>
        <v>2742.9111272727273</v>
      </c>
      <c r="D20" s="141">
        <f>SUM(D7:D17)</f>
        <v>30172.022399999998</v>
      </c>
      <c r="E20" s="7"/>
      <c r="G20" s="140">
        <f>SUM(G7:G17)</f>
        <v>914.28571428571422</v>
      </c>
      <c r="H20" s="141">
        <f>SUM(H7:H17)</f>
        <v>6400</v>
      </c>
      <c r="I20" s="7"/>
    </row>
    <row r="21" spans="1:12" ht="29.4" thickBot="1" x14ac:dyDescent="0.35">
      <c r="A21" s="142" t="s">
        <v>0</v>
      </c>
      <c r="B21" s="143">
        <v>0.15</v>
      </c>
      <c r="C21" s="144">
        <f>C20*B21</f>
        <v>411.43666909090911</v>
      </c>
      <c r="D21" s="141">
        <f>D20*B21</f>
        <v>4525.8033599999999</v>
      </c>
      <c r="E21" s="11" t="s">
        <v>98</v>
      </c>
      <c r="G21" s="144">
        <f>H21/G18</f>
        <v>155.19702857142855</v>
      </c>
      <c r="H21" s="141">
        <f>(H20-364.56)*0.18</f>
        <v>1086.3791999999999</v>
      </c>
      <c r="I21" s="11" t="s">
        <v>98</v>
      </c>
      <c r="L21" s="10"/>
    </row>
    <row r="22" spans="1:12" ht="19.5" customHeight="1" thickBot="1" x14ac:dyDescent="0.35">
      <c r="A22" s="178" t="s">
        <v>5</v>
      </c>
      <c r="B22" s="179"/>
      <c r="C22" s="144">
        <f>SUM(C20:C21)</f>
        <v>3154.3477963636365</v>
      </c>
      <c r="D22" s="141">
        <f>SUM(D20:D21)</f>
        <v>34697.82576</v>
      </c>
      <c r="E22" s="7"/>
      <c r="G22" s="144">
        <f>SUM(G20:G21)</f>
        <v>1069.4827428571427</v>
      </c>
      <c r="H22" s="141">
        <f>SUM(H20:H21)</f>
        <v>7486.3791999999994</v>
      </c>
      <c r="I22" s="7"/>
      <c r="L22" s="10"/>
    </row>
    <row r="23" spans="1:12" ht="19.5" customHeight="1" thickBot="1" x14ac:dyDescent="0.35">
      <c r="A23" s="142" t="s">
        <v>20</v>
      </c>
      <c r="B23" s="145">
        <v>0.16</v>
      </c>
      <c r="C23" s="144">
        <f>C22*B23</f>
        <v>504.69564741818186</v>
      </c>
      <c r="D23" s="141">
        <f>D22*B23</f>
        <v>5551.6521216000001</v>
      </c>
      <c r="E23" s="7"/>
      <c r="G23" s="144">
        <f>G22*B23</f>
        <v>171.11723885714284</v>
      </c>
      <c r="H23" s="146">
        <f>H22*B23</f>
        <v>1197.8206719999998</v>
      </c>
      <c r="I23" s="7"/>
      <c r="L23" s="10"/>
    </row>
    <row r="24" spans="1:12" ht="19.5" customHeight="1" thickBot="1" x14ac:dyDescent="0.35">
      <c r="A24" s="178" t="s">
        <v>6</v>
      </c>
      <c r="B24" s="179"/>
      <c r="C24" s="144">
        <f>SUM(C22:C23)</f>
        <v>3659.0434437818185</v>
      </c>
      <c r="D24" s="141">
        <f>SUM(D22:D23)</f>
        <v>40249.477881600003</v>
      </c>
      <c r="E24" s="8"/>
      <c r="G24" s="144">
        <f>SUM(G22:G23)</f>
        <v>1240.5999817142856</v>
      </c>
      <c r="H24" s="141">
        <f>SUM(H22:H23)</f>
        <v>8684.1998719999992</v>
      </c>
      <c r="I24" s="8"/>
    </row>
    <row r="25" spans="1:12" x14ac:dyDescent="0.3">
      <c r="A25" s="3" t="s">
        <v>99</v>
      </c>
      <c r="H25" s="147"/>
    </row>
    <row r="26" spans="1:12" ht="15" thickBot="1" x14ac:dyDescent="0.35"/>
    <row r="27" spans="1:12" ht="30" customHeight="1" thickBot="1" x14ac:dyDescent="0.35">
      <c r="A27" s="4" t="s">
        <v>8</v>
      </c>
      <c r="B27" s="148" t="s">
        <v>15</v>
      </c>
      <c r="C27" s="193" t="s">
        <v>31</v>
      </c>
      <c r="D27" s="194"/>
      <c r="G27" s="148" t="s">
        <v>15</v>
      </c>
      <c r="H27" s="193" t="s">
        <v>31</v>
      </c>
      <c r="I27" s="194"/>
    </row>
    <row r="28" spans="1:12" ht="30" customHeight="1" x14ac:dyDescent="0.3">
      <c r="A28" s="149" t="s">
        <v>14</v>
      </c>
      <c r="B28" s="150">
        <v>1500</v>
      </c>
      <c r="C28" s="195"/>
      <c r="D28" s="196"/>
      <c r="G28" s="150"/>
      <c r="H28" s="195"/>
      <c r="I28" s="196"/>
    </row>
    <row r="29" spans="1:12" ht="21.75" customHeight="1" x14ac:dyDescent="0.3">
      <c r="A29" s="151" t="s">
        <v>13</v>
      </c>
      <c r="B29" s="152"/>
      <c r="C29" s="171"/>
      <c r="D29" s="172"/>
      <c r="G29" s="152"/>
      <c r="H29" s="171" t="s">
        <v>100</v>
      </c>
      <c r="I29" s="172"/>
    </row>
    <row r="30" spans="1:12" ht="34.5" customHeight="1" x14ac:dyDescent="0.3">
      <c r="A30" s="151" t="s">
        <v>12</v>
      </c>
      <c r="B30" s="161" t="s">
        <v>116</v>
      </c>
      <c r="C30" s="173" t="s">
        <v>115</v>
      </c>
      <c r="D30" s="174"/>
      <c r="G30" s="152" t="s">
        <v>120</v>
      </c>
      <c r="H30" s="173" t="s">
        <v>115</v>
      </c>
      <c r="I30" s="174"/>
    </row>
    <row r="31" spans="1:12" ht="33" customHeight="1" x14ac:dyDescent="0.3">
      <c r="A31" s="151" t="s">
        <v>11</v>
      </c>
      <c r="B31" s="152"/>
      <c r="C31" s="171"/>
      <c r="D31" s="172"/>
      <c r="G31" s="152"/>
      <c r="H31" s="171"/>
      <c r="I31" s="172"/>
    </row>
    <row r="32" spans="1:12" ht="21.75" customHeight="1" x14ac:dyDescent="0.3">
      <c r="A32" s="151" t="s">
        <v>10</v>
      </c>
      <c r="B32" s="152"/>
      <c r="C32" s="171"/>
      <c r="D32" s="172"/>
      <c r="G32" s="152"/>
      <c r="H32" s="171"/>
      <c r="I32" s="172"/>
    </row>
    <row r="33" spans="1:9" ht="21.75" customHeight="1" x14ac:dyDescent="0.3">
      <c r="A33" s="151" t="s">
        <v>1</v>
      </c>
      <c r="B33" s="152"/>
      <c r="C33" s="171"/>
      <c r="D33" s="172"/>
      <c r="G33" s="152"/>
      <c r="H33" s="171"/>
      <c r="I33" s="172"/>
    </row>
    <row r="34" spans="1:9" ht="21.75" customHeight="1" x14ac:dyDescent="0.3">
      <c r="A34" s="151" t="s">
        <v>9</v>
      </c>
      <c r="B34" s="152"/>
      <c r="C34" s="171"/>
      <c r="D34" s="172"/>
      <c r="G34" s="152"/>
      <c r="H34" s="171"/>
      <c r="I34" s="172"/>
    </row>
    <row r="35" spans="1:9" ht="21.75" customHeight="1" x14ac:dyDescent="0.3">
      <c r="A35" s="151" t="s">
        <v>2</v>
      </c>
      <c r="B35" s="152" t="s">
        <v>119</v>
      </c>
      <c r="C35" s="171" t="s">
        <v>122</v>
      </c>
      <c r="D35" s="172"/>
      <c r="G35" s="152" t="s">
        <v>123</v>
      </c>
      <c r="H35" s="171" t="s">
        <v>124</v>
      </c>
      <c r="I35" s="172"/>
    </row>
    <row r="36" spans="1:9" ht="21.75" customHeight="1" x14ac:dyDescent="0.3">
      <c r="A36" s="151" t="s">
        <v>3</v>
      </c>
      <c r="B36" s="152" t="s">
        <v>117</v>
      </c>
      <c r="C36" s="171" t="s">
        <v>101</v>
      </c>
      <c r="D36" s="172"/>
      <c r="G36" s="152"/>
      <c r="H36" s="171" t="s">
        <v>121</v>
      </c>
      <c r="I36" s="172"/>
    </row>
    <row r="37" spans="1:9" ht="21.75" customHeight="1" x14ac:dyDescent="0.3">
      <c r="A37" s="151" t="s">
        <v>102</v>
      </c>
      <c r="B37" s="152" t="s">
        <v>118</v>
      </c>
      <c r="C37" s="171" t="s">
        <v>103</v>
      </c>
      <c r="D37" s="172"/>
      <c r="G37" s="152"/>
      <c r="H37" s="171" t="s">
        <v>121</v>
      </c>
      <c r="I37" s="172"/>
    </row>
    <row r="38" spans="1:9" ht="21.75" customHeight="1" x14ac:dyDescent="0.3">
      <c r="A38" s="151" t="s">
        <v>16</v>
      </c>
      <c r="B38" s="153"/>
      <c r="C38" s="171"/>
      <c r="D38" s="172"/>
      <c r="G38" s="153"/>
      <c r="H38" s="171"/>
      <c r="I38" s="172"/>
    </row>
    <row r="39" spans="1:9" ht="21.75" customHeight="1" thickBot="1" x14ac:dyDescent="0.35">
      <c r="A39" s="151" t="s">
        <v>4</v>
      </c>
      <c r="B39" s="154"/>
      <c r="C39" s="171"/>
      <c r="D39" s="172"/>
      <c r="G39" s="154"/>
      <c r="H39" s="171"/>
      <c r="I39" s="172"/>
    </row>
    <row r="40" spans="1:9" ht="24.75" customHeight="1" thickBot="1" x14ac:dyDescent="0.35">
      <c r="A40" s="155" t="s">
        <v>5</v>
      </c>
      <c r="B40" s="156" t="s">
        <v>125</v>
      </c>
      <c r="C40" s="200"/>
      <c r="D40" s="201"/>
      <c r="G40" s="156" t="s">
        <v>126</v>
      </c>
      <c r="H40" s="200"/>
      <c r="I40" s="201"/>
    </row>
    <row r="41" spans="1:9" x14ac:dyDescent="0.3">
      <c r="A41" s="3" t="s">
        <v>7</v>
      </c>
    </row>
    <row r="42" spans="1:9" x14ac:dyDescent="0.3">
      <c r="A42" s="1"/>
    </row>
    <row r="44" spans="1:9" x14ac:dyDescent="0.3">
      <c r="A44" s="1"/>
    </row>
    <row r="63" spans="1:8" x14ac:dyDescent="0.3">
      <c r="A63" s="1"/>
      <c r="C63"/>
      <c r="D63"/>
      <c r="G63"/>
      <c r="H63"/>
    </row>
    <row r="64" spans="1:8" x14ac:dyDescent="0.3">
      <c r="A64" s="1"/>
      <c r="C64"/>
      <c r="D64"/>
      <c r="G64"/>
      <c r="H64"/>
    </row>
    <row r="69" customFormat="1" x14ac:dyDescent="0.3"/>
    <row r="70" customFormat="1" x14ac:dyDescent="0.3"/>
    <row r="71" customFormat="1" x14ac:dyDescent="0.3"/>
    <row r="72" customFormat="1" x14ac:dyDescent="0.3"/>
  </sheetData>
  <mergeCells count="52">
    <mergeCell ref="H39:I39"/>
    <mergeCell ref="C40:D40"/>
    <mergeCell ref="H40:I40"/>
    <mergeCell ref="H34:I34"/>
    <mergeCell ref="H35:I35"/>
    <mergeCell ref="H36:I36"/>
    <mergeCell ref="H37:I37"/>
    <mergeCell ref="H38:I38"/>
    <mergeCell ref="C38:D38"/>
    <mergeCell ref="C39:D39"/>
    <mergeCell ref="C37:D37"/>
    <mergeCell ref="H29:I29"/>
    <mergeCell ref="H30:I30"/>
    <mergeCell ref="H31:I31"/>
    <mergeCell ref="H32:I32"/>
    <mergeCell ref="H33:I33"/>
    <mergeCell ref="G18:H18"/>
    <mergeCell ref="A19:B19"/>
    <mergeCell ref="A24:B24"/>
    <mergeCell ref="H27:I27"/>
    <mergeCell ref="H28:I28"/>
    <mergeCell ref="C27:D27"/>
    <mergeCell ref="C28:D28"/>
    <mergeCell ref="A18:B18"/>
    <mergeCell ref="C18:D18"/>
    <mergeCell ref="B1:F1"/>
    <mergeCell ref="A3:E3"/>
    <mergeCell ref="A4:E4"/>
    <mergeCell ref="C5:D5"/>
    <mergeCell ref="G5:H5"/>
    <mergeCell ref="A9:B9"/>
    <mergeCell ref="A14:B14"/>
    <mergeCell ref="A13:B13"/>
    <mergeCell ref="A12:B12"/>
    <mergeCell ref="A11:B11"/>
    <mergeCell ref="A10:B10"/>
    <mergeCell ref="C29:D29"/>
    <mergeCell ref="C30:D30"/>
    <mergeCell ref="C36:D36"/>
    <mergeCell ref="A2:E2"/>
    <mergeCell ref="A17:B17"/>
    <mergeCell ref="A22:B22"/>
    <mergeCell ref="A15:B15"/>
    <mergeCell ref="A16:B16"/>
    <mergeCell ref="A8:B8"/>
    <mergeCell ref="A7:B7"/>
    <mergeCell ref="A6:B6"/>
    <mergeCell ref="C31:D31"/>
    <mergeCell ref="C32:D32"/>
    <mergeCell ref="C33:D33"/>
    <mergeCell ref="C34:D34"/>
    <mergeCell ref="C35:D35"/>
  </mergeCells>
  <pageMargins left="0.7" right="0.7" top="1" bottom="0.75" header="0.3" footer="0.3"/>
  <pageSetup scale="63" fitToHeight="0" orientation="landscape" r:id="rId1"/>
  <rowBreaks count="1" manualBreakCount="1">
    <brk id="2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29"/>
  <sheetViews>
    <sheetView workbookViewId="0">
      <selection activeCell="G8" sqref="G8"/>
    </sheetView>
  </sheetViews>
  <sheetFormatPr defaultRowHeight="14.4" x14ac:dyDescent="0.3"/>
  <cols>
    <col min="1" max="1" width="63.5546875" customWidth="1"/>
    <col min="2" max="2" width="16.44140625" style="6" customWidth="1"/>
    <col min="4" max="4" width="16.44140625" style="6" customWidth="1"/>
    <col min="5" max="5" width="10" bestFit="1" customWidth="1"/>
  </cols>
  <sheetData>
    <row r="1" spans="1:7" ht="37.5" customHeight="1" x14ac:dyDescent="0.55000000000000004">
      <c r="A1" s="5" t="s">
        <v>32</v>
      </c>
      <c r="B1" s="186"/>
      <c r="C1" s="186"/>
      <c r="D1"/>
    </row>
    <row r="2" spans="1:7" ht="21" customHeight="1" x14ac:dyDescent="0.3">
      <c r="A2" s="175" t="s">
        <v>107</v>
      </c>
      <c r="B2" s="175"/>
      <c r="C2" s="175"/>
      <c r="D2" s="175"/>
      <c r="E2" s="32"/>
      <c r="F2" s="32"/>
      <c r="G2" s="32"/>
    </row>
    <row r="3" spans="1:7" ht="15" thickBot="1" x14ac:dyDescent="0.35">
      <c r="A3" s="2"/>
      <c r="B3" s="9"/>
      <c r="D3" s="9"/>
    </row>
    <row r="4" spans="1:7" ht="31.8" thickBot="1" x14ac:dyDescent="0.35">
      <c r="A4" s="31" t="s">
        <v>40</v>
      </c>
      <c r="B4" s="158" t="s">
        <v>43</v>
      </c>
      <c r="C4" s="159"/>
      <c r="D4" s="158" t="s">
        <v>106</v>
      </c>
    </row>
    <row r="5" spans="1:7" ht="19.5" customHeight="1" x14ac:dyDescent="0.3">
      <c r="A5" s="26" t="s">
        <v>22</v>
      </c>
      <c r="B5" s="27">
        <f>'Budget, Incl &amp; Excl expenses'!D7*(1+'Budget, Incl &amp; Excl expenses'!$B$21)</f>
        <v>7376.1919999999991</v>
      </c>
      <c r="D5" s="27">
        <f>'Budget, Incl &amp; Excl expenses'!H7*(1+'Budget, Incl &amp; Excl expenses'!$B$21)</f>
        <v>1380</v>
      </c>
    </row>
    <row r="6" spans="1:7" ht="19.5" customHeight="1" x14ac:dyDescent="0.3">
      <c r="A6" s="28" t="s">
        <v>25</v>
      </c>
      <c r="B6" s="29">
        <f>'Budget, Incl &amp; Excl expenses'!D8*(1+'Budget, Incl &amp; Excl expenses'!B21)</f>
        <v>21844.112000000001</v>
      </c>
      <c r="D6" s="29">
        <f>'Budget, Incl &amp; Excl expenses'!H8*(1+'Budget, Incl &amp; Excl expenses'!B21)</f>
        <v>3725.9999999999995</v>
      </c>
    </row>
    <row r="7" spans="1:7" ht="19.5" customHeight="1" x14ac:dyDescent="0.3">
      <c r="A7" s="28" t="s">
        <v>23</v>
      </c>
      <c r="B7" s="29">
        <f>'Budget, Incl &amp; Excl expenses'!D9*(1+'Budget, Incl &amp; Excl expenses'!$B$21)</f>
        <v>2437.6319999999996</v>
      </c>
      <c r="D7" s="29">
        <f>'Budget, Incl &amp; Excl expenses'!H9*(1+'Budget, Incl &amp; Excl expenses'!B21)</f>
        <v>552</v>
      </c>
    </row>
    <row r="8" spans="1:7" ht="36" x14ac:dyDescent="0.3">
      <c r="A8" s="28" t="s">
        <v>33</v>
      </c>
      <c r="B8" s="29"/>
      <c r="D8" s="29"/>
    </row>
    <row r="9" spans="1:7" ht="19.5" customHeight="1" x14ac:dyDescent="0.3">
      <c r="A9" s="28" t="s">
        <v>34</v>
      </c>
      <c r="B9" s="29">
        <f>'Budget, Incl &amp; Excl expenses'!D14*(1+'Budget, Incl &amp; Excl expenses'!B$21)</f>
        <v>1429.8897599999998</v>
      </c>
      <c r="D9" s="29">
        <f>'Budget, Incl &amp; Excl expenses'!H14*(1+'Budget, Incl &amp; Excl expenses'!B$21)</f>
        <v>1701.9999999999998</v>
      </c>
      <c r="E9" s="10"/>
    </row>
    <row r="10" spans="1:7" ht="19.5" customHeight="1" x14ac:dyDescent="0.3">
      <c r="A10" s="28" t="s">
        <v>41</v>
      </c>
      <c r="B10" s="29">
        <f>'Budget, Incl &amp; Excl expenses'!D17*(1+'Budget, Incl &amp; Excl expenses'!B21)</f>
        <v>1609.9999999999998</v>
      </c>
      <c r="D10" s="29">
        <f>'Budget, Incl &amp; Excl expenses'!F17*(1+'Budget, Incl &amp; Excl expenses'!D21)</f>
        <v>0</v>
      </c>
    </row>
    <row r="11" spans="1:7" ht="19.5" customHeight="1" thickBot="1" x14ac:dyDescent="0.35">
      <c r="A11" s="18" t="s">
        <v>20</v>
      </c>
      <c r="B11" s="30">
        <f>'Budget, Incl &amp; Excl expenses'!D23</f>
        <v>5551.6521216000001</v>
      </c>
      <c r="D11" s="30">
        <f>'Budget, Incl &amp; Excl expenses'!H23</f>
        <v>1197.8206719999998</v>
      </c>
    </row>
    <row r="12" spans="1:7" ht="19.5" customHeight="1" thickBot="1" x14ac:dyDescent="0.35">
      <c r="A12" s="19" t="s">
        <v>6</v>
      </c>
      <c r="B12" s="30">
        <f>SUM(B5:B11)</f>
        <v>40249.477881600003</v>
      </c>
      <c r="C12" s="10"/>
      <c r="D12" s="30">
        <f>SUM(D5:D11)</f>
        <v>8557.8206719999998</v>
      </c>
      <c r="E12" s="10"/>
    </row>
    <row r="13" spans="1:7" x14ac:dyDescent="0.3">
      <c r="A13" s="3" t="s">
        <v>7</v>
      </c>
    </row>
    <row r="14" spans="1:7" ht="15" thickBot="1" x14ac:dyDescent="0.35"/>
    <row r="15" spans="1:7" ht="18.600000000000001" thickBot="1" x14ac:dyDescent="0.35">
      <c r="A15" s="19" t="s">
        <v>42</v>
      </c>
      <c r="B15" s="64">
        <f>B12/B17</f>
        <v>3659.0434437818185</v>
      </c>
      <c r="D15" s="64">
        <f>D12/D17</f>
        <v>1222.5458102857142</v>
      </c>
    </row>
    <row r="16" spans="1:7" ht="18.600000000000001" thickBot="1" x14ac:dyDescent="0.35">
      <c r="A16" s="19" t="s">
        <v>36</v>
      </c>
      <c r="B16" s="64">
        <v>3700</v>
      </c>
      <c r="D16" s="64">
        <v>1300</v>
      </c>
    </row>
    <row r="17" spans="1:5" ht="18.600000000000001" thickBot="1" x14ac:dyDescent="0.35">
      <c r="A17" s="19" t="s">
        <v>35</v>
      </c>
      <c r="B17" s="157" cm="1">
        <f t="array" ref="B17:C17">'Budget, Incl &amp; Excl expenses'!C18:D18</f>
        <v>11</v>
      </c>
      <c r="C17">
        <v>0</v>
      </c>
      <c r="D17" s="20">
        <v>7</v>
      </c>
    </row>
    <row r="18" spans="1:5" ht="18.600000000000001" thickBot="1" x14ac:dyDescent="0.35">
      <c r="A18" s="19" t="s">
        <v>27</v>
      </c>
      <c r="B18" s="21">
        <f>B16*B17</f>
        <v>40700</v>
      </c>
      <c r="D18" s="21">
        <f>D16*D17</f>
        <v>9100</v>
      </c>
    </row>
    <row r="19" spans="1:5" ht="18" x14ac:dyDescent="0.35">
      <c r="A19" s="22" t="s">
        <v>37</v>
      </c>
      <c r="B19" s="23">
        <f>B18-B12</f>
        <v>450.52211839999654</v>
      </c>
      <c r="D19" s="23">
        <f>D18-D12</f>
        <v>542.17932800000017</v>
      </c>
      <c r="E19" s="10"/>
    </row>
    <row r="20" spans="1:5" ht="18" x14ac:dyDescent="0.35">
      <c r="A20" s="24"/>
      <c r="B20" s="25">
        <f>B19/B12</f>
        <v>1.1193241306763687E-2</v>
      </c>
      <c r="D20" s="25">
        <f>D19/D12</f>
        <v>6.335483632812447E-2</v>
      </c>
      <c r="E20" s="25"/>
    </row>
    <row r="21" spans="1:5" ht="18" x14ac:dyDescent="0.35">
      <c r="A21" s="24"/>
      <c r="B21" s="23">
        <f>B12/B17</f>
        <v>3659.0434437818185</v>
      </c>
      <c r="C21" s="10"/>
      <c r="D21" s="23">
        <f>D12/D17</f>
        <v>1222.5458102857142</v>
      </c>
    </row>
    <row r="26" spans="1:5" x14ac:dyDescent="0.3">
      <c r="B26"/>
      <c r="D26"/>
    </row>
    <row r="27" spans="1:5" x14ac:dyDescent="0.3">
      <c r="B27"/>
      <c r="D27"/>
    </row>
    <row r="28" spans="1:5" x14ac:dyDescent="0.3">
      <c r="B28"/>
      <c r="D28"/>
    </row>
    <row r="29" spans="1:5" x14ac:dyDescent="0.3">
      <c r="B29"/>
      <c r="D29"/>
    </row>
  </sheetData>
  <mergeCells count="2">
    <mergeCell ref="B1:C1"/>
    <mergeCell ref="A2:D2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Trip Cost Worksheet</vt:lpstr>
      <vt:lpstr>Leader Costs</vt:lpstr>
      <vt:lpstr>Budget, Incl &amp; Excl expenses</vt:lpstr>
      <vt:lpstr>Budget for Club Accounting</vt:lpstr>
      <vt:lpstr>Participants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Cheryl</dc:creator>
  <cp:lastModifiedBy>Cheryl Talbert</cp:lastModifiedBy>
  <cp:lastPrinted>2018-01-30T04:42:41Z</cp:lastPrinted>
  <dcterms:created xsi:type="dcterms:W3CDTF">2013-11-19T21:57:21Z</dcterms:created>
  <dcterms:modified xsi:type="dcterms:W3CDTF">2025-11-29T18:49:51Z</dcterms:modified>
</cp:coreProperties>
</file>